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480" windowWidth="23880" windowHeight="9240" activeTab="0"/>
  </bookViews>
  <sheets>
    <sheet name="EFN_CO2 calculator" sheetId="1" r:id="rId1"/>
    <sheet name="CO2 per kWh" sheetId="2" r:id="rId2"/>
    <sheet name="Conversion factors" sheetId="3" r:id="rId3"/>
    <sheet name="DEFRA_Calculator" sheetId="4" r:id="rId4"/>
  </sheets>
  <definedNames>
    <definedName name="_xlnm.Print_Area" localSheetId="0">'EFN_CO2 calculator'!$A$5:$F$123</definedName>
  </definedNames>
  <calcPr fullCalcOnLoad="1"/>
</workbook>
</file>

<file path=xl/sharedStrings.xml><?xml version="1.0" encoding="utf-8"?>
<sst xmlns="http://schemas.openxmlformats.org/spreadsheetml/2006/main" count="1089" uniqueCount="664">
  <si>
    <t>Source: The conversion factors in the table above incorporate global warming potential</t>
  </si>
  <si>
    <t>(GWP) values published by the IPCC in its Second Assessment Report (Climate Change</t>
  </si>
  <si>
    <t>Nitrous Oxide</t>
  </si>
  <si>
    <t>1995. The Science of Climate Change. Contribution of Working Group I to the Second</t>
  </si>
  <si>
    <t>HFC – 125</t>
  </si>
  <si>
    <t>Assessment Report of the Intergovernmental Panel on Climate Change. (Eds. J.T</t>
  </si>
  <si>
    <t>HFC – 134</t>
  </si>
  <si>
    <t>Houghton et al). Published for the Intergovernmental Panel on Climate Change by</t>
  </si>
  <si>
    <r>
      <t>HFC – 134</t>
    </r>
    <r>
      <rPr>
        <vertAlign val="subscript"/>
        <sz val="10"/>
        <rFont val="Arial"/>
        <family val="2"/>
      </rPr>
      <t>a</t>
    </r>
  </si>
  <si>
    <t>Cambridge University Press 1996). Revised GWP values have since been published by</t>
  </si>
  <si>
    <t>HFC – 143</t>
  </si>
  <si>
    <t>the IPCC in the Third Assessment Report (2001) but current UNFCCC Guidelines on</t>
  </si>
  <si>
    <r>
      <t>HFC – 143</t>
    </r>
    <r>
      <rPr>
        <vertAlign val="subscript"/>
        <sz val="10"/>
        <rFont val="Arial"/>
        <family val="2"/>
      </rPr>
      <t>a</t>
    </r>
  </si>
  <si>
    <t>Reporting and Review, adopted before the publication of the Third Assessment Report,</t>
  </si>
  <si>
    <r>
      <t>HFC – 152</t>
    </r>
    <r>
      <rPr>
        <vertAlign val="subscript"/>
        <sz val="10"/>
        <rFont val="Arial"/>
        <family val="2"/>
      </rPr>
      <t>a</t>
    </r>
  </si>
  <si>
    <t>require emission estimates to be based on the GWPs in the IPCC Second Assessment</t>
  </si>
  <si>
    <r>
      <t>HFC – 227</t>
    </r>
    <r>
      <rPr>
        <vertAlign val="subscript"/>
        <sz val="10"/>
        <rFont val="Arial"/>
        <family val="2"/>
      </rPr>
      <t>ea</t>
    </r>
  </si>
  <si>
    <t>Report.</t>
  </si>
  <si>
    <t>HFC – 23</t>
  </si>
  <si>
    <t>Not all refrigerants in use are classified as greenhouse gases for the purposes of the</t>
  </si>
  <si>
    <r>
      <t>HFC – 236</t>
    </r>
    <r>
      <rPr>
        <vertAlign val="subscript"/>
        <sz val="10"/>
        <rFont val="Arial"/>
        <family val="2"/>
      </rPr>
      <t>fa</t>
    </r>
  </si>
  <si>
    <t>Climate Change Programme (e.g. CFCs, HCFCs). GWP values for refrigerant HFC blends</t>
  </si>
  <si>
    <r>
      <t>HFC – 245</t>
    </r>
    <r>
      <rPr>
        <vertAlign val="subscript"/>
        <sz val="10"/>
        <rFont val="Arial"/>
        <family val="2"/>
      </rPr>
      <t>ca</t>
    </r>
  </si>
  <si>
    <t>should be calculated on the basis of the percentage blend composition (e.g. the GWP for</t>
  </si>
  <si>
    <t>HFC – 32</t>
  </si>
  <si>
    <t>R404a that comprises is 44% HFC125, 52% HFC143a and 4% HFC134a is 2800x0.44 +</t>
  </si>
  <si>
    <t>HFC – 41</t>
  </si>
  <si>
    <t>3800x0.52 + 1300x0.04 = 3260).</t>
  </si>
  <si>
    <r>
      <t>HFC – 43 – l0</t>
    </r>
    <r>
      <rPr>
        <vertAlign val="subscript"/>
        <sz val="10"/>
        <rFont val="Arial"/>
        <family val="2"/>
      </rPr>
      <t>mee</t>
    </r>
  </si>
  <si>
    <t>Perfluorobutane</t>
  </si>
  <si>
    <t>Perfluoromethane</t>
  </si>
  <si>
    <t>*</t>
  </si>
  <si>
    <t>Perfluoropropane</t>
  </si>
  <si>
    <t>Perfluoropentane</t>
  </si>
  <si>
    <t>Perfluorocyclobutane</t>
  </si>
  <si>
    <t>Perfluoroethane</t>
  </si>
  <si>
    <t>Perfluorohexane</t>
  </si>
  <si>
    <t>Per l'anno : 200_  </t>
  </si>
  <si>
    <t>Large Tanker - 18,371deadweight tonnes, max speed 15 knots</t>
  </si>
  <si>
    <t>small bulk carrier</t>
  </si>
  <si>
    <t>Small Bulk carrier - 1,720 deadweight tonnes, max speed 10.9 knots</t>
  </si>
  <si>
    <t>large bulk carrier</t>
  </si>
  <si>
    <t>Large Bulk carrier - 14,201 deadweight tonnes, max speed 11.2 knots</t>
  </si>
  <si>
    <t>PROCESS EMISSIONS</t>
  </si>
  <si>
    <t>Table 4: Process related emissions</t>
  </si>
  <si>
    <t>Process</t>
  </si>
  <si>
    <t>Emission</t>
  </si>
  <si>
    <t>CO2</t>
  </si>
  <si>
    <t>CH4</t>
  </si>
  <si>
    <t>N2O</t>
  </si>
  <si>
    <t>PFC</t>
  </si>
  <si>
    <t>SF6</t>
  </si>
  <si>
    <t>HFC</t>
  </si>
  <si>
    <t>Mineral</t>
  </si>
  <si>
    <t>Cement Production</t>
  </si>
  <si>
    <t>y</t>
  </si>
  <si>
    <t>4These process related emissions refer to the types of processes that are used specifically</t>
  </si>
  <si>
    <t>Products</t>
  </si>
  <si>
    <t>Lime Production</t>
  </si>
  <si>
    <t>in the UK. Process emissions might be slightly different for processes operated in other</t>
  </si>
  <si>
    <t>Limestone Use</t>
  </si>
  <si>
    <t>countries.</t>
  </si>
  <si>
    <t>Soda Ash Production and Use</t>
  </si>
  <si>
    <t>5For use of limestone in Flue Gas Desulphurisation (FGD) and processes such as those in</t>
  </si>
  <si>
    <t>Fletton Brick Manufacture6</t>
  </si>
  <si>
    <t>the glass industry. Not all uses of limestone release CO2.</t>
  </si>
  <si>
    <t>Chemical</t>
  </si>
  <si>
    <t>Ammonia</t>
  </si>
  <si>
    <t>6This is specific to Fletton brick manufacture at the mineral processing stage, a process</t>
  </si>
  <si>
    <t>Industry</t>
  </si>
  <si>
    <t>Nitric Acid</t>
  </si>
  <si>
    <t>that uses clay with high organic content. Other types of brick manufacturing in the UK do</t>
  </si>
  <si>
    <t>Adipic Acid</t>
  </si>
  <si>
    <t>not release Greenhouse Gas emissions during the processing stage</t>
  </si>
  <si>
    <t>Urea</t>
  </si>
  <si>
    <t>Source: Greenhouse Gas Inventory Reference Manual, Revised 1996 IPCC Guidelines for</t>
  </si>
  <si>
    <t>Carbides</t>
  </si>
  <si>
    <t>National greenhouse Gas Inventories, (1997) IPCC, adapted for UK processes by Netcen.</t>
  </si>
  <si>
    <t>Caprolactam</t>
  </si>
  <si>
    <t>Petrochemicals</t>
  </si>
  <si>
    <t>Metal</t>
  </si>
  <si>
    <t>Iron, Steel and Ferroalloys</t>
  </si>
  <si>
    <t>production</t>
  </si>
  <si>
    <t>Aluminium</t>
  </si>
  <si>
    <t>Magnesium</t>
  </si>
  <si>
    <t>Other Metals</t>
  </si>
  <si>
    <t>Energy</t>
  </si>
  <si>
    <t>Coal mining</t>
  </si>
  <si>
    <t>Solid fuel transformation</t>
  </si>
  <si>
    <t>Oil production</t>
  </si>
  <si>
    <t>Gas production and distribution</t>
  </si>
  <si>
    <t>Venting and flaring from oil/gas production.</t>
  </si>
  <si>
    <t>Other</t>
  </si>
  <si>
    <t>Production of Halocarbons</t>
  </si>
  <si>
    <t>Use of Halocarbons and SF6</t>
  </si>
  <si>
    <t>Organic Waste Management</t>
  </si>
  <si>
    <t>Table 5: Factors for process emissions</t>
  </si>
  <si>
    <t>Amount Emitted per Year in tonnes</t>
  </si>
  <si>
    <t>Conversion Factor</t>
  </si>
  <si>
    <t>Total kg CO2 equivalent</t>
  </si>
  <si>
    <t>CO2 (excl fuel/transport)</t>
  </si>
  <si>
    <t>Source: Continuing Survey of Road Goods Transport 2003; NAEI (Netcen, 2005) based on</t>
  </si>
  <si>
    <t>load correction factors taken from COPERT III.</t>
  </si>
  <si>
    <t>OTHER TRANSPORT</t>
  </si>
  <si>
    <t>Source: Netcen (2005)</t>
  </si>
  <si>
    <t>Table 9: Rail and Air Passenger Transport</t>
  </si>
  <si>
    <t>The rail factor refers to an average emission per passenger kilometre for diesel and electric trains weighted by the proportion of electric to diesel train kilometres in 2003.</t>
  </si>
  <si>
    <t>Method of travel</t>
  </si>
  <si>
    <t>Person-kms travelled (pkm)</t>
  </si>
  <si>
    <t>Conversion CO2 per pkm</t>
  </si>
  <si>
    <t>The factor for diesel trains has been calculated based on total diesel consumed by the railways in 2003 provided by ATOC.</t>
  </si>
  <si>
    <t>Rail</t>
  </si>
  <si>
    <t>The factor for electric trains has been calculated based on average kWh per kilometre for a typical electric train and the grid electricity factor in Table 3.</t>
  </si>
  <si>
    <r>
      <t>Air</t>
    </r>
    <r>
      <rPr>
        <vertAlign val="subscript"/>
        <sz val="10"/>
        <rFont val="Arial"/>
        <family val="2"/>
      </rPr>
      <t>4</t>
    </r>
  </si>
  <si>
    <t>long haul</t>
  </si>
  <si>
    <t>The diesel/electric passenger train weighting is based on data for 2003 from AEAT Rail.</t>
  </si>
  <si>
    <t>short haul</t>
  </si>
  <si>
    <t>Aircraft factors based on factors in IPCC Manual.</t>
  </si>
  <si>
    <t>Factors for a long haul flight refer to a 5,000 km journey on a typical 450 seat capacity aircraft used for these journeys, with a 70% load factor.</t>
  </si>
  <si>
    <t>Factors for a short haul flight refer to a 500 km journey on a typical 128 seat capacity aircraft used for these journeys, with a 65% load factor.</t>
  </si>
  <si>
    <t>Table 11: Other Freight Mileage Conversion Factors</t>
  </si>
  <si>
    <t>Freight transport mode</t>
  </si>
  <si>
    <t>Tonne km</t>
  </si>
  <si>
    <t>Factor</t>
  </si>
  <si>
    <t>Source: NETCEN, British Airways, DHL, Railtrack, English, Welsh and Scottish Railways LTD</t>
  </si>
  <si>
    <t>These factors are being reviewed and are likely to change</t>
  </si>
  <si>
    <t>Air</t>
  </si>
  <si>
    <t>3 revised figure in line with factors used in National Air Emissions Inventory</t>
  </si>
  <si>
    <t>4 Long haul - Asia, Australasia, the Americas, Middle and Far East Short haul - average 500km</t>
  </si>
  <si>
    <r>
      <t>Shipping</t>
    </r>
    <r>
      <rPr>
        <vertAlign val="subscript"/>
        <sz val="10"/>
        <rFont val="Arial"/>
        <family val="2"/>
      </rPr>
      <t>5</t>
    </r>
  </si>
  <si>
    <t>small ro-ro</t>
  </si>
  <si>
    <t>5 Small ro-ro - 1,268 deadweight tonnes, max speed 16.2 knots</t>
  </si>
  <si>
    <t>large ro-ro</t>
  </si>
  <si>
    <t>Large ro-ro - 4,478 deadweight tonnes, max speed 23.2 knots</t>
  </si>
  <si>
    <t>small tanker</t>
  </si>
  <si>
    <t>Small tanker - 844 deadweight tonnes, max speed 8.2 knots</t>
  </si>
  <si>
    <t>large tanker</t>
  </si>
  <si>
    <t>UK Greenhouse Gas Inventory for 2003 developed by Netcen (2005), Digest of UK Energy</t>
  </si>
  <si>
    <t>Compressed Natural Gas</t>
  </si>
  <si>
    <t>Statistics DTI 2004 and carbon factors for fuels from UKPIA (2004)</t>
  </si>
  <si>
    <t>Liquid Petroleum Gas</t>
  </si>
  <si>
    <t>Table 7: Passenger Road Transport Conversion Factors: Petrol</t>
  </si>
  <si>
    <t>Size of car and</t>
  </si>
  <si>
    <t>Total units travelled</t>
  </si>
  <si>
    <t>Small petrol car</t>
  </si>
  <si>
    <t>miles</t>
  </si>
  <si>
    <t>These factors are average values for the UK car fleet in 2003 travelling on average trips in</t>
  </si>
  <si>
    <t>Max 1.4 litre engine</t>
  </si>
  <si>
    <t>km</t>
  </si>
  <si>
    <t>the UK. Source: NAEI (Netcen, 2005) based on data from DfT combined with factors from</t>
  </si>
  <si>
    <t>Medium petrol car</t>
  </si>
  <si>
    <t>TRL as functions of average speed of vehicle derived from test data under real world</t>
  </si>
  <si>
    <t>From 1.4 – 2.1 litres</t>
  </si>
  <si>
    <t>testing cycles.</t>
  </si>
  <si>
    <t>Large petrol car</t>
  </si>
  <si>
    <t>Above 2.1 litres</t>
  </si>
  <si>
    <t>Average Petrol car</t>
  </si>
  <si>
    <t>Table 8: Passenger Road Transport Conversion Factors: Diesel Cars</t>
  </si>
  <si>
    <t>Size of Car and Distance Units</t>
  </si>
  <si>
    <t>Total Units Tracelled</t>
  </si>
  <si>
    <t>Small diesel car</t>
  </si>
  <si>
    <t>Max 2.0 litre or under</t>
  </si>
  <si>
    <t>Large diesel car</t>
  </si>
  <si>
    <t>Over 2.0 litres</t>
  </si>
  <si>
    <t>Average diesel car</t>
  </si>
  <si>
    <t>Table 10: Diesel Freight Road Mileage Conversion Factors</t>
  </si>
  <si>
    <t>Type of lorry</t>
  </si>
  <si>
    <t>%weight laden</t>
  </si>
  <si>
    <t>Total km travelled</t>
  </si>
  <si>
    <t>Litres fuel per km</t>
  </si>
  <si>
    <t>Fuel conversion factor</t>
  </si>
  <si>
    <t>Rigid</t>
  </si>
  <si>
    <t>The % weight laden refers to the extent to which the vehicle is loaded to their maximum</t>
  </si>
  <si>
    <t>carrying capacity. So a 0% weight laden means the vehicle is travelling carrying no loads.</t>
  </si>
  <si>
    <t>100% weight laden means the vehicle is travelling with loads bringing the vehicle to its</t>
  </si>
  <si>
    <t>maximum carrying capacity. If the % weight laden is unknown, an average figure of 50%</t>
  </si>
  <si>
    <t>should be used as a default figure. If the % weight laden is known, a more precise figure</t>
  </si>
  <si>
    <t>Articulated</t>
  </si>
  <si>
    <t>for the number of litres fuel per km can be derived as follows:</t>
  </si>
  <si>
    <t>For rigid lorries: litres fuel per km = 0.236 + 0.104 x (% weight laden)/100</t>
  </si>
  <si>
    <t>For articulated lorries: litres fuel per km = 0.311 + 0.137 x (% weight laden)/100</t>
  </si>
  <si>
    <t>These factors refer to vehicles running on diesel fuel.</t>
  </si>
  <si>
    <t>3: OTHER TRANSPORT</t>
  </si>
  <si>
    <t>4: OTHER PROCESS EMISSIONS</t>
  </si>
  <si>
    <t>kg CO2 equivalent</t>
  </si>
  <si>
    <t>GRAND TOTAL</t>
  </si>
  <si>
    <t>FUEL (excluding transport)</t>
  </si>
  <si>
    <t>Table 2: Converting fuel types to CO2</t>
  </si>
  <si>
    <t>Fuel Type</t>
  </si>
  <si>
    <t>Amount used per year</t>
  </si>
  <si>
    <t>Units</t>
  </si>
  <si>
    <t>x</t>
  </si>
  <si>
    <t>kg CO2 per unit</t>
  </si>
  <si>
    <t>Total kg CO2</t>
  </si>
  <si>
    <r>
      <t xml:space="preserve">Grid Electricity </t>
    </r>
    <r>
      <rPr>
        <vertAlign val="subscript"/>
        <sz val="10"/>
        <rFont val="Arial"/>
        <family val="2"/>
      </rPr>
      <t>1</t>
    </r>
  </si>
  <si>
    <t>Natural Gas</t>
  </si>
  <si>
    <t>1The factor for electricity has been changed slightly from the previous guidelines to come</t>
  </si>
  <si>
    <t>into line with calculations for the Climate Change Levy Agreements and future</t>
  </si>
  <si>
    <t>Gas Oil</t>
  </si>
  <si>
    <t>requirements for Emissions Trading. It was calculated on the projected fuel mix for the grid</t>
  </si>
  <si>
    <t>1998-2000. Actual figures may differ from the projections, but to help with year on year</t>
  </si>
  <si>
    <t>comparisons we plan to use a constant value for the purposes of these Guidelines until the</t>
  </si>
  <si>
    <t>Diesel</t>
  </si>
  <si>
    <t>year 2010.</t>
  </si>
  <si>
    <t>2 Average emission factor for coal used in sources other than power stations and</t>
  </si>
  <si>
    <t>domestic, i.e. industry sources including collieries, Iron &amp; Steel, Autogeneration, Cement</t>
  </si>
  <si>
    <t>UK gallons</t>
  </si>
  <si>
    <t>Petrol</t>
  </si>
  <si>
    <t>production, Lime production, Other industry, Miscellaneous, Public Sector, Stationary</t>
  </si>
  <si>
    <t>combustion - railways and Agriculture. Users who wish to use coal factors for types of</t>
  </si>
  <si>
    <t>coal used in specific industry applications should use the factors given in the UKETS.</t>
  </si>
  <si>
    <t>Fuel Oil</t>
  </si>
  <si>
    <t>3 A zero conversion factor can only be applied if your company has entered into a</t>
  </si>
  <si>
    <t>renewables source contract with an energy supplier, that has acquired Climate Change</t>
  </si>
  <si>
    <r>
      <t xml:space="preserve">Coal </t>
    </r>
    <r>
      <rPr>
        <vertAlign val="subscript"/>
        <sz val="10"/>
        <rFont val="Arial"/>
        <family val="2"/>
      </rPr>
      <t>2</t>
    </r>
  </si>
  <si>
    <t>Levy Exemption Certificates (LECs) for the electricity supplied to you as a non-domestic</t>
  </si>
  <si>
    <t>electricity consumer.</t>
  </si>
  <si>
    <t>LPG</t>
  </si>
  <si>
    <t>Coking Coal</t>
  </si>
  <si>
    <t>Aviation Spirit</t>
  </si>
  <si>
    <t>Aviation Turbine Fuel</t>
  </si>
  <si>
    <t>Other Petroleum Gas</t>
  </si>
  <si>
    <t>Naphtha</t>
  </si>
  <si>
    <t>Lubricants</t>
  </si>
  <si>
    <t>Refinery Miscellaneous</t>
  </si>
  <si>
    <r>
      <t>Renewables</t>
    </r>
    <r>
      <rPr>
        <vertAlign val="subscript"/>
        <sz val="10"/>
        <rFont val="Arial"/>
        <family val="2"/>
      </rPr>
      <t>3</t>
    </r>
  </si>
  <si>
    <t>TOTAL</t>
  </si>
  <si>
    <t>CAR TRANSPORT</t>
  </si>
  <si>
    <r>
      <t xml:space="preserve">FILL IN FUEL </t>
    </r>
    <r>
      <rPr>
        <b/>
        <i/>
        <sz val="10"/>
        <rFont val="Arial"/>
        <family val="2"/>
      </rPr>
      <t>OR</t>
    </r>
    <r>
      <rPr>
        <i/>
        <sz val="10"/>
        <rFont val="Arial"/>
        <family val="2"/>
      </rPr>
      <t xml:space="preserve"> MILEAGE</t>
    </r>
  </si>
  <si>
    <t>Table 6: Standard road transport fuel conversion factors</t>
  </si>
  <si>
    <t>Fuel used</t>
  </si>
  <si>
    <t>Total units used</t>
  </si>
  <si>
    <t>Source: National Atmospheric Emissions Inventory for 2003 developed by Netcen (2005).</t>
  </si>
  <si>
    <t>Liquefied petroleum gas / LPG</t>
  </si>
  <si>
    <t>Liquified Petroleum Gases (LPG)</t>
  </si>
  <si>
    <t>LG</t>
  </si>
  <si>
    <t>Aviation Gasoline</t>
  </si>
  <si>
    <t>AV</t>
  </si>
  <si>
    <t>Motor spirit / Petrol</t>
  </si>
  <si>
    <t>Motor Gasoline</t>
  </si>
  <si>
    <t>MG</t>
  </si>
  <si>
    <t>Aviation turbine fuel / Jet Kerosene</t>
  </si>
  <si>
    <t>Jet Fuel</t>
  </si>
  <si>
    <t>JF</t>
  </si>
  <si>
    <t>Gas/diesel oil</t>
  </si>
  <si>
    <t>Kerosene</t>
  </si>
  <si>
    <t>KS</t>
  </si>
  <si>
    <t>Power station oil / Naptha</t>
  </si>
  <si>
    <t>Distillate Fuel (No. 1, No. 2, No. 4 Fuel Oil and Diesel)</t>
  </si>
  <si>
    <t>DF</t>
  </si>
  <si>
    <t>Fuel oil / Heavy Fuel Oil</t>
  </si>
  <si>
    <t>Residual Fuel (No. 5 and No. 6 Fuel Oil)</t>
  </si>
  <si>
    <t>RF</t>
  </si>
  <si>
    <t xml:space="preserve">Petroleum coke </t>
  </si>
  <si>
    <t>Petroleum Coke</t>
  </si>
  <si>
    <t>PC</t>
  </si>
  <si>
    <t>Crude oil (weighted average)</t>
  </si>
  <si>
    <t>Petroleum products (weighted average)</t>
  </si>
  <si>
    <t>Gaseous fuels</t>
  </si>
  <si>
    <t>kWh/m3</t>
  </si>
  <si>
    <t>kg C02 / m3</t>
  </si>
  <si>
    <t>kg C02 / 100f3</t>
  </si>
  <si>
    <t xml:space="preserve">Natural Gas and Other Gaseous Fuels </t>
  </si>
  <si>
    <t>kwh / m3</t>
  </si>
  <si>
    <t>kg CO2 / m3</t>
  </si>
  <si>
    <t>Pounds CO2 per 1000 ft3</t>
  </si>
  <si>
    <t>Natural gas</t>
  </si>
  <si>
    <t>Natural Gas (Pipeline)</t>
  </si>
  <si>
    <t>NG</t>
  </si>
  <si>
    <t>Refinery gas</t>
  </si>
  <si>
    <t>Flare Gas</t>
  </si>
  <si>
    <t>FG</t>
  </si>
  <si>
    <t>Coke oven gas</t>
  </si>
  <si>
    <t>Methane</t>
  </si>
  <si>
    <t>ME</t>
  </si>
  <si>
    <t>Landfill gas</t>
  </si>
  <si>
    <t>5.3 - 6.4</t>
  </si>
  <si>
    <t>5.8-7.0*</t>
  </si>
  <si>
    <t>Landfill Gas</t>
  </si>
  <si>
    <t>LF</t>
  </si>
  <si>
    <t>Sewage gas</t>
  </si>
  <si>
    <t> </t>
  </si>
  <si>
    <t>Blast furnace gas</t>
  </si>
  <si>
    <t>Solid renewables</t>
  </si>
  <si>
    <t>kWh/tonne</t>
  </si>
  <si>
    <t>kg CO2 / kg</t>
  </si>
  <si>
    <t xml:space="preserve">Renewable Sources </t>
  </si>
  <si>
    <t>Domestic wood (2)</t>
  </si>
  <si>
    <t>Wood and Wood Waste</t>
  </si>
  <si>
    <t>WW</t>
  </si>
  <si>
    <t>Industrial wood (3)</t>
  </si>
  <si>
    <t>Tyres</t>
  </si>
  <si>
    <t>Tires/Tire-Derived Fuel</t>
  </si>
  <si>
    <t>TF</t>
  </si>
  <si>
    <t>Municipal solid waste</t>
  </si>
  <si>
    <t>Municipal Solid Waste</t>
  </si>
  <si>
    <t>MS</t>
  </si>
  <si>
    <t>Refuse-derived waste</t>
  </si>
  <si>
    <t>Straw</t>
  </si>
  <si>
    <t>Poultry litter</t>
  </si>
  <si>
    <t>General industrial waste</t>
  </si>
  <si>
    <t>Hospital waste</t>
  </si>
  <si>
    <t>To -&gt;</t>
  </si>
  <si>
    <t>therms</t>
  </si>
  <si>
    <t>kWh</t>
  </si>
  <si>
    <t>Btu</t>
  </si>
  <si>
    <t>MJ</t>
  </si>
  <si>
    <t>toe</t>
  </si>
  <si>
    <t>kcal</t>
  </si>
  <si>
    <t>1lb=</t>
  </si>
  <si>
    <t>kg</t>
  </si>
  <si>
    <t>From</t>
  </si>
  <si>
    <t>1 short ton =</t>
  </si>
  <si>
    <t>tonnes</t>
  </si>
  <si>
    <t>1lb/short ton</t>
  </si>
  <si>
    <t>kg/tonne</t>
  </si>
  <si>
    <t>1 Million BTU=</t>
  </si>
  <si>
    <t>1 lb/Million BTU=</t>
  </si>
  <si>
    <t>kg/kWh</t>
  </si>
  <si>
    <t xml:space="preserve">1 US gallon = </t>
  </si>
  <si>
    <t>litres</t>
  </si>
  <si>
    <t>1lb/gallon =</t>
  </si>
  <si>
    <t>kg/litre</t>
  </si>
  <si>
    <t>1000 ft3 =</t>
  </si>
  <si>
    <t>m3</t>
  </si>
  <si>
    <t>1 lb/ 1000 ft3 =</t>
  </si>
  <si>
    <t>kg / m3</t>
  </si>
  <si>
    <t xml:space="preserve">1 imperial gallon = </t>
  </si>
  <si>
    <t>1 US barrell =</t>
  </si>
  <si>
    <t>Litres</t>
  </si>
  <si>
    <t>1kWh=</t>
  </si>
  <si>
    <t>ft3</t>
  </si>
  <si>
    <t>100ft3=</t>
  </si>
  <si>
    <t>1m3</t>
  </si>
  <si>
    <t>BUSINESS CO2 emissions CALCULATOR</t>
  </si>
  <si>
    <t>Source: UK Department for Environment, Food and Rural Affairs (Defra)</t>
  </si>
  <si>
    <t>Instructions: Fill in yellow boxes below, making sure never to count the same item  twice.</t>
  </si>
  <si>
    <t>SUMMARY</t>
  </si>
  <si>
    <t>TOTAL EMISSIONS</t>
  </si>
  <si>
    <t>1: FUEL (excluding transport)</t>
  </si>
  <si>
    <t>kg CO2</t>
  </si>
  <si>
    <t>2: CAR TRANSPORT</t>
  </si>
  <si>
    <t>Source of data for many of the conversion factors above is from :</t>
  </si>
  <si>
    <t>DEFRA Guidelines for Company Reporting on Greenhouse Gas Emissions - Annexes updated July 2005</t>
  </si>
  <si>
    <t>http://www.defra.gov.uk/Environment/business/envrp/gas/envrpgas-annexes.pdf</t>
  </si>
  <si>
    <t>© Bruno Comby - This tool can be freely used, duplicated and circulated, for non-commercial and non-harmful uses only.</t>
  </si>
  <si>
    <t>With many thanks for their corrections, additions, comments or suggestions to : Stephen Stretten, Berol Robinson, Michel Lung.</t>
  </si>
  <si>
    <t>This is an open-source software, please feel free to circulate this tool to your colleagues, your friends, your contacts...</t>
  </si>
  <si>
    <t>as it is, as long as you mention the author and EFN (+ web site ecolo.org) and keep us informed of any improvements.</t>
  </si>
  <si>
    <t>CO2 Per kWh of Electricity</t>
  </si>
  <si>
    <t>France</t>
  </si>
  <si>
    <t>Sweden</t>
  </si>
  <si>
    <t>Canada</t>
  </si>
  <si>
    <t>Austria</t>
  </si>
  <si>
    <t>Belgium</t>
  </si>
  <si>
    <t>European Union</t>
  </si>
  <si>
    <t>Finland</t>
  </si>
  <si>
    <t>Spain</t>
  </si>
  <si>
    <t>Japan</t>
  </si>
  <si>
    <t>Portugal</t>
  </si>
  <si>
    <t>UK</t>
  </si>
  <si>
    <t>Luxembourg</t>
  </si>
  <si>
    <t>Germany</t>
  </si>
  <si>
    <t>USA</t>
  </si>
  <si>
    <t>Netherlands</t>
  </si>
  <si>
    <t>Italy</t>
  </si>
  <si>
    <t>Ireland</t>
  </si>
  <si>
    <t>Greece</t>
  </si>
  <si>
    <t>Denmark</t>
  </si>
  <si>
    <t>Source: EFN, PriceWaterHouse, EDF, www.manicore.com 2001</t>
  </si>
  <si>
    <t>Calorific Value and Carbon Emissions (Source: Carbon Trust)</t>
  </si>
  <si>
    <t>Calculated</t>
  </si>
  <si>
    <t>Carbon Emissions / US Figures (Source: Department of Energy)</t>
  </si>
  <si>
    <t xml:space="preserve">Fuel </t>
  </si>
  <si>
    <t>Net Energy</t>
  </si>
  <si>
    <t>Gross Energy</t>
  </si>
  <si>
    <t>Carbon Emissions</t>
  </si>
  <si>
    <t>(Approx.)</t>
  </si>
  <si>
    <t>By Weight</t>
  </si>
  <si>
    <t>By Volume</t>
  </si>
  <si>
    <t>UK Grid electricity</t>
  </si>
  <si>
    <t xml:space="preserve">kg C/kWh </t>
  </si>
  <si>
    <t>kg C02 / kWh (e)</t>
  </si>
  <si>
    <t>As Delivered</t>
  </si>
  <si>
    <t>UK Electricity Fuel Input</t>
  </si>
  <si>
    <t>kg C02 / kWh (th)</t>
  </si>
  <si>
    <t>Primary</t>
  </si>
  <si>
    <t>Solid fuels</t>
  </si>
  <si>
    <t>kWh / tonne</t>
  </si>
  <si>
    <t>litres / tonne</t>
  </si>
  <si>
    <t>kWh/litre</t>
  </si>
  <si>
    <t>kg C02 / kWh</t>
  </si>
  <si>
    <t>kg C02 / tonne</t>
  </si>
  <si>
    <t>kg C02 / kg fuel</t>
  </si>
  <si>
    <t>Coal</t>
  </si>
  <si>
    <t>CL</t>
  </si>
  <si>
    <t>kwh / tonne</t>
  </si>
  <si>
    <t>kg CO2 / kWh</t>
  </si>
  <si>
    <t>kg CO2 / tonne</t>
  </si>
  <si>
    <t>Pounds CO2 per short ton</t>
  </si>
  <si>
    <t>Pounds CO2 per Million Btu</t>
  </si>
  <si>
    <t>Coal (weighted average)</t>
  </si>
  <si>
    <t>—</t>
  </si>
  <si>
    <t>Anthracite</t>
  </si>
  <si>
    <t>AC</t>
  </si>
  <si>
    <t>Bituminous</t>
  </si>
  <si>
    <t>BC</t>
  </si>
  <si>
    <t>Subbituminous</t>
  </si>
  <si>
    <t>SB</t>
  </si>
  <si>
    <t>Lignite</t>
  </si>
  <si>
    <t>LC</t>
  </si>
  <si>
    <t>Coke</t>
  </si>
  <si>
    <t>Liquid fuels</t>
  </si>
  <si>
    <t>kg C02 / litre</t>
  </si>
  <si>
    <t>kg C02 / UK gallon</t>
  </si>
  <si>
    <t xml:space="preserve">Petroleum Products </t>
  </si>
  <si>
    <t>kwh / litre</t>
  </si>
  <si>
    <t>kg CO2 / litre</t>
  </si>
  <si>
    <t>Pounds CO2 per US gallon</t>
  </si>
  <si>
    <t>Ethane</t>
  </si>
  <si>
    <t>Propane</t>
  </si>
  <si>
    <t>PR</t>
  </si>
  <si>
    <t>Fool around with the numbers above. You will see that windmills have a rather small impact on reducing CO2 emissions (and sometimes even increase the CO2 emissions because of the 80% fossile backup that is needed.</t>
  </si>
  <si>
    <t>Nuclear power is always much more effective in reducing emissions, because it is reliable (available on demand), can provide all the power needed to phase out fossile fuel (not just a small fraction of it) and requires no fossile backup or very little of it only for peak demand, compared to wind.</t>
  </si>
  <si>
    <t>Please vote for the politicians who take the right decisions ! And make sure they keep up to what they promise !</t>
  </si>
  <si>
    <t>WHAT IF BOTH YOU AND YOUR POLITICIANS ADOPTED ALL THESE CHANGES ?</t>
  </si>
  <si>
    <t>YOUR CARBON FOOTPRINT (for your group) could be as low as:</t>
  </si>
  <si>
    <t>Personal footprint - your possible savings - additional savings thanks to your politicians</t>
  </si>
  <si>
    <t>YOUR CARBON FOOTPRINT per capita could be as low as:</t>
  </si>
  <si>
    <t>YOUR CARBON FOOTPRINT would be reduced in percentage by:</t>
  </si>
  <si>
    <t>%</t>
  </si>
  <si>
    <t>Compare this result with what the planet can stand :</t>
  </si>
  <si>
    <t>1000 or 500</t>
  </si>
  <si>
    <t>kgs of CO2 per person / anno</t>
  </si>
  <si>
    <t>(this applies to individuals, families or groups of citizens only, not to companies)</t>
  </si>
  <si>
    <t>(1000 kgs in the short term/500 kgs in the longer term : individual emissions of CO2 per inhabitant/anno that the planet - ocean and vegetation - can digest without harming the climate)</t>
  </si>
  <si>
    <t>If necessary, improve your savings by choosing the right options in the "savings" section above, and change the scenarios you might propose to your politicians for electricity production, until you reach an acceptable level of CO2 emissions.</t>
  </si>
  <si>
    <t>THANKS FOR TAKING CARE OF OUR PLANET, make sure you reduce your footprint anno after anno !</t>
  </si>
  <si>
    <t>For suggestions on how to improve this tool : please write to us and send your suggestions to: CO2calculator[at]ecolo.org</t>
  </si>
  <si>
    <t>(mention the cell number to be corrected and the new content proposed for each cell)</t>
  </si>
  <si>
    <t>For more information about EFN and our other programs, visit : www.ecolo.org</t>
  </si>
  <si>
    <t>NUCLEAR REACTORS IS A TECHNICAL MAXIMUM  IN YOUR COUNTRY</t>
  </si>
  <si>
    <t>LAND SURFACE NEEDED FOR THESE WINDMILLS :</t>
  </si>
  <si>
    <t>KM2</t>
  </si>
  <si>
    <t>0.1 km2 per windmill + need for backup gas plant (negligible surface for backup, about 100 times less : 2MW = 1/500th of a 1000 MW gas plant occupying 0.2 km2= 0,0004km2 for backup gas plant per windmill)</t>
  </si>
  <si>
    <t>LAND SURFACE NEEDED FOR THESE REACTORS :</t>
  </si>
  <si>
    <t>1 km2 per reactor + no need for backup gas plant because</t>
  </si>
  <si>
    <t>ENERGY TO BE PRODUCED BY THESE WINDMILLS :</t>
  </si>
  <si>
    <t>TWh per anno</t>
  </si>
  <si>
    <t>per windmill 0,0035 TWh = 20% x 2 MW x 8760 hours/anno/ (1 million M in one G)</t>
  </si>
  <si>
    <t>ENERGY TO BE PRODUCED BY THESE REACTORS :</t>
  </si>
  <si>
    <t>per reactor 11,9 TWh = 85% x 1600 MW x 8760 hours/anno/ (1 million M in one G)</t>
  </si>
  <si>
    <t>Impact of these windmills on your country's CO2 reduction targets :</t>
  </si>
  <si>
    <t>million tons CO2</t>
  </si>
  <si>
    <t>CO2 saved = emissions of former production replaced[5 x Number of TWh produced x grCO2/kWh in your country x 10(9)kWh/TWh x 10(-12)gr/million tons] - emissions of new gas backup necessary[4 x Number of TWh produced x 700grCO2/kWh x 10(9)kWh/TWh x 10(-12)gr/million tons] =(5*C173*B12/1000) - (4*C173*0,7)</t>
  </si>
  <si>
    <t>Impact of these reactors on your country's CO2 reduction targets :</t>
  </si>
  <si>
    <t>CO2 saved = emissions of former production replaced[Number of TWh produced x grCO2/kWh in your country x 10(9)kWh/TWh x 10(-12)gr/million tons] (no gas backup necessary) =(C173*B12/1000)</t>
  </si>
  <si>
    <t>Note : a (plus) sign (or no sign displayed) means you are making a positive contribution to your country's CO2 reduction targets</t>
  </si>
  <si>
    <t>Note : a (minus) sign means your are not reducing emissions, but increasing the CO2 emissions ! (this can happen in some cases because of the natural gas' backup emissions)</t>
  </si>
  <si>
    <t xml:space="preserve">CO2 savings on your emissions, thanks to your politicians : </t>
  </si>
  <si>
    <t>(Your CO2 emissions from electricity in kgs CO2 / your total CO2 emissions)*(reduction from wind+nuclear in Mt CO2 capped with total CO2 from electricity in Mt CO2 / total CO2 from electricity in Mt CO2)</t>
  </si>
  <si>
    <t>So let's take a look now at what happens if your country builds more wind mills, and/or more nuclear reactors in replacement of existing production capacity.</t>
  </si>
  <si>
    <t>Wind mills have an average efficiency of about 20% (German experience) and they are intermittent, therefore a reliable backup (usually natural gas turbines) is necessary to produce the remaining 80%.</t>
  </si>
  <si>
    <t>I reattori nucleari hanno un fattore di efficienza medio di circa l'85% e sono disponibili a richiesta in base alla domanda ( non sono necessarie scorte strategiche di Gas ).</t>
  </si>
  <si>
    <t>L'energia eolica non può produrre più del 20% di energia in una nazione ( al fine di assicurare qualità nella fornitura/stabilità della rete elettrica ).</t>
  </si>
  <si>
    <t xml:space="preserve">L'energia Nucleare normalmente non produce più dell'80% nella produzione totale di energia elettrica ( nonostante possa arrivare al 100%, il picco di domanda è usualmente assicurato con altri metodi produttivi ) </t>
  </si>
  <si>
    <t xml:space="preserve">Ora supponiamo che i politici obbediscano ai tuoi ordini e vediamo l'impatto nella costruzione di più turbine eoliche e più reattori nucleari sulle emissioni della tua nazione e le tue proprie emissioni: </t>
  </si>
  <si>
    <t>Quante nuove turbine eoliche da 2 MW vuoi far costruire ai tuoi politici ?</t>
  </si>
  <si>
    <t>turbines, each twice as high as the cathedral of Paris, see http://www.ecolo.org/photos/eole/cathedral-wind-Paris-en.jpg</t>
  </si>
  <si>
    <t>Numero massimo di turbine eoliche permesse per essere costruite  ( limite tecnico per la stabilità della rete: circa il 20% della capacità totale installata ):</t>
  </si>
  <si>
    <t>WINDMILLS OF 2MW IS A TECHNICAL MAXIMUM  IN YOUR COUNTRY</t>
  </si>
  <si>
    <t>Quanti nuovi reattori nucleari vuoi che i tuoi politici costruiscano ?</t>
  </si>
  <si>
    <t xml:space="preserve">1000 kgs of CO2 per person / anno in the short term 500 kgs of CO2 per person / anno in the long term </t>
  </si>
  <si>
    <t>1600 MW nuclear reactors, each occupying about the size of a football field see http://www.ecolo.org/photos/npp/EPR-in-blue.JPG</t>
  </si>
  <si>
    <t xml:space="preserve">Massimo numero di reattori nucleari raccomandati ( sufficenti a produrre l'80% della produzione elettrica ): </t>
  </si>
  <si>
    <t xml:space="preserve">L'elettricità pulita prodotta è circa 150 kWh/m2 per anno ( può variare col clima locale ). Varia anche in base a come viene prodotta elettricità nella tua nazione. </t>
  </si>
  <si>
    <t>Altre riduzioni non menzionate sopra ( in kgs di CO2 )</t>
  </si>
  <si>
    <t>L'OBBIETTIVO DEL RISPARMIO TOTALE DI CO2 E':</t>
  </si>
  <si>
    <t>CO2 risparmi in percentuale delle tue emissioni:</t>
  </si>
  <si>
    <t>% of your emissions</t>
  </si>
  <si>
    <t xml:space="preserve">CON QUESTI RISPARMI LE TUE EMISSIONI OBBIETTIVO PER IL PROSSIMO ANNO SONO DI: </t>
  </si>
  <si>
    <t>L'emissione di quest'anno meno i risparmi del prossimo anno</t>
  </si>
  <si>
    <t>IMPORTANZA DELLE AZIONI PERSONALI:</t>
  </si>
  <si>
    <t>Numero di grandi alberi necessari per assorbire tanto carbonio quanto i risparmi di cui sopra:</t>
  </si>
  <si>
    <t xml:space="preserve">Un grande albero assorbe 500 Kg di carbonio, ossia 1.5 tonnellate di CO2 durante la crescita in 50 anni ( media di 0.03 tonnellate/anno ) </t>
  </si>
  <si>
    <t>Se ognuno nella tua nazione effettua gli stessi risparmi</t>
  </si>
  <si>
    <t>I tuoi risparmi per numero di milione di abitanti nella tua nazione / (1000 kg/tonnellata )</t>
  </si>
  <si>
    <t>La tua nazione ridurrà le proprie emissioni di :</t>
  </si>
  <si>
    <t xml:space="preserve"> Millioni di tonnellate di CO2</t>
  </si>
  <si>
    <t>Nnumero di grandi alberi necessari per assorbire la stessa quantità di carbonio ( in milioni di alberi ):</t>
  </si>
  <si>
    <t xml:space="preserve">Un grande albero assorbe  1.5 tonnellate di CO2 durante la crescita in 50 anni ( media di 0.03 tonnellate/anno ) </t>
  </si>
  <si>
    <r>
      <t>Surface of forest needed to absorb the same amount of carbon (in km</t>
    </r>
    <r>
      <rPr>
        <b/>
        <vertAlign val="superscript"/>
        <sz val="15"/>
        <color indexed="9"/>
        <rFont val="Arial"/>
        <family val="2"/>
      </rPr>
      <t>2</t>
    </r>
    <r>
      <rPr>
        <b/>
        <sz val="15"/>
        <color indexed="9"/>
        <rFont val="Arial"/>
        <family val="2"/>
      </rPr>
      <t>)</t>
    </r>
  </si>
  <si>
    <t>Posto che una foresta sia composta da un grande albero ogni 10 metri ( 10 000 grandi alberi per kilometro quadrato )</t>
  </si>
  <si>
    <t>RISPARMI ADDIZIONALI PER TE SE I TUOI POLITICI PRENDONO LE GIUSTE DECISIONI:</t>
  </si>
  <si>
    <t xml:space="preserve">Le scelte collettive fatte dai politici della tua nazione, scegliendo le sorgenti per la produzione di energia elettrica, influenza direttamente le tue proprie emissioni. </t>
  </si>
  <si>
    <t>Quando scelgono di installare nuove capacità produttive di elettricità, i politici hano solo due principali opzioni: eolico o nucleare ( diamo per scontanto che siano saggi abbastanza da non scegliere centrali a carbone dato che l'estrazione ( sequestration ) di carbone non è economicamente fattibile ( feasible )</t>
  </si>
  <si>
    <t xml:space="preserve">Sostituisci la tua fornace a combustibile fossile con una pompa di calore geotermica (SI=1, No=0) ( Replace your fossile fuel furnace by a geothermal heat pump ) </t>
  </si>
  <si>
    <t>The CO2 savings depends on how your country produces its electricity, this applies after deducting previous lines</t>
  </si>
  <si>
    <t>Riduci il tuo consumo di elettricità ( riduzione in % del consumo elettrico )</t>
  </si>
  <si>
    <t>Spegni le luci, sostiutiscile con luci a basso consumo e risparmio energetico, migliore regolazione, minimizza l'uso di alcuni applicativi ( appliances), spegni il computer quando non è usato... riduzione in proporzione delle emissioni dell'elettricità totale di cui sopra</t>
  </si>
  <si>
    <t>Andare in Francia/Svezia o produrre la propria elettricità verde (SI=1, No=0)</t>
  </si>
  <si>
    <t>Risparmia la maggior parte delle tue emissioni dovute all'energia elettrica dopo aver sottratto i risparmi energetici delle riga superiore</t>
  </si>
  <si>
    <t>Riduzione del tuo kilometraggio di  (in % del kilometraggio )</t>
  </si>
  <si>
    <t>Questo può dare importanti risultati per ridurre massivamente le emissioni.</t>
  </si>
  <si>
    <t>Scambio di parte del kilometraggio d'auto con trasporti pubblici ( bus o treni diesel in % del kilometraggio )</t>
  </si>
  <si>
    <t>Risparmia il 70% delle tue emissioni medie dovute alla guida e corrispondenti a tale kilometraggio</t>
  </si>
  <si>
    <t>Scambio di parte del kilometraggio d'auto con metropolitana, treni elettrici (in % del tuo kilometraggio auto )</t>
  </si>
  <si>
    <t>Il risparmio di CO2 dipende da come il tuo paese produce elettricità</t>
  </si>
  <si>
    <t>O sostituisci la/le tua/tue auto a diesel o gasolio con una / più auto elettrica/che  (SI=1, No=0)</t>
  </si>
  <si>
    <t>Lo stesso di sopra ma si applica al 100% del kilometraggio, i risparmi energetici delle 3 precedenti righe sono sottratti; il risparmio di CO2 dipende da come la tua nazione produce elettricità.</t>
  </si>
  <si>
    <t xml:space="preserve">Riduci i tuoi voli d'aereo con vacanze locali, teleconferenza... ( in % dei voli ) </t>
  </si>
  <si>
    <t>Questo è solitamente una grandissima vittoria, specialmente per i voli a lunga percorrenza.</t>
  </si>
  <si>
    <t>Produci elettricità pulita con pannelli fotovoltaici ( numero di metri quadrati )</t>
  </si>
  <si>
    <t>Risulato medio per un cittadino odierno dell'Albania ( quota personale )</t>
  </si>
  <si>
    <t>Risultato medio per le altre nazioni, vedi http://www.ecolo.org/documents/documents_in_english/IEA-Stats-all-03.html</t>
  </si>
  <si>
    <t>(divide the tCO2/capita indicated on this web site by a factor of about 2 to obtain your personal share of the global emissions)</t>
  </si>
  <si>
    <t>Come puoi ridurre le tue emissioni: POSSIBILE RISPARMIO E OBIETTIVO PER L'ANNO PROSSIMO</t>
  </si>
  <si>
    <t>Adesso, vediamo cosa puoi fare per ridurre il consumo di energia fossile e le tue emissioni di CO2 in futuro</t>
  </si>
  <si>
    <t>Le caselle verdi indicato quanta riduzione puoi aspettarti per ognuna delle azioni proposte.</t>
  </si>
  <si>
    <t>Adatta i valori numerici di riferimento nelle caselle grigie a piacere per testare il risparmio possibile</t>
  </si>
  <si>
    <t>E usa ancora questo strumento di calcolo del carbonio l'anno prossimo per verificare i risultati !</t>
  </si>
  <si>
    <t>Prova differenti scenari per vedere quanto puoi guadagnare cambiando alcuni dei parametri</t>
  </si>
  <si>
    <t>Per ridurre il tuo CO2 di :</t>
  </si>
  <si>
    <t xml:space="preserve">Riduci la tua temperatura domestica o di edificio se scaldata da combustibili fossili ( riduzione in °C ) </t>
  </si>
  <si>
    <t>Risparmia il 7% del riscaldamento domestico per ogni  °C</t>
  </si>
  <si>
    <t>Sostituisci le tue finestre a vetro singolo con finestre a doppia vetro-camera/gas argon  (SI=1, No=0)</t>
  </si>
  <si>
    <t>Risparmia circa il  10% del riscaldamento domestico o di un edificio dopo aver sottratto la linea precedente</t>
  </si>
  <si>
    <t>Migliore isolamento termico del tetto (SI=1, leggero miglioramento=0.5, No=0)</t>
  </si>
  <si>
    <t>Risparmia circa il  10% del riscaldamento domestico o di un edificio dopo aver sottratto le linee precedente</t>
  </si>
  <si>
    <t>Migliore isolamento termino delle pareti (SI=1, leggero miglioramento=0.5, No=0)</t>
  </si>
  <si>
    <t>Installa pannelli solari per produrre acqua calda invece dei combustibili fossili  (SI=1, No=0)</t>
  </si>
  <si>
    <t xml:space="preserve">Installa ventilazione a doppio flusso con scambiatore di calore ( SI=1, No=0)  ( Install double-flux ventilation with heat exchanger) </t>
  </si>
  <si>
    <t>Risparmia circa il  30% del riscaldamento domestico o di un edificio dopo aver sottratto le linee precedente</t>
  </si>
  <si>
    <t xml:space="preserve">Nota: questo risultato non include emissioni collettive dalle infrastrutture, governi e altri uffici che lavorano per te, i quali non sono contati fra le figure immesse sopra: emissioni industriali, subappaltatori e i loro fornitori che lavorano per te, costruttori di edifici, coltivazione e impacchettamento di cibo... ); in molti casi, per i privati o households queste tracce per persona vanno moltiplicate per un fattore di 2 ( o aggiungi la tua quota di emissioni collettive ) per ottenere le tue emissioni totali come cittadino ( incluso la tua quota di emissioni indirette da sorgenti collettive ). </t>
  </si>
  <si>
    <t>PER PERSONE INDIVIDUALI, GRUPPI O FAMIGLIE, paragona questo risultato con:</t>
  </si>
  <si>
    <t xml:space="preserve">1000 kgs of CO2 per persona / anno nel breve periodo 500 kgs of CO2 per person / anno nel lungo periodo </t>
  </si>
  <si>
    <t>( questo si applica agli individui, famiglie o soli gruppi di cittadini, non alle compagnie e/o aziende )</t>
  </si>
  <si>
    <t>( quantità media per abitante che il pianeta – oceano e vegetazione – può smaltire senza riscaldare il clima )</t>
  </si>
  <si>
    <t>(12 miliardi di tonnellate di CO2 sono assorbite dall'ecosistema ogni anno, divise fra 6 miliardi di abitanti = 2 tonnellate per abitante, di cui metà è per l'uso collettivo e l'altra metà per usi individuali come qui calcolato)</t>
  </si>
  <si>
    <t>(sul lungo termine il fattore chiave è l'ammontare di anidride carbonica che può essere trattenuta nella profondità degli oceani, la figura è allora ridotta a 1.7 GtC=6Gt CO2 (IPCC 2001, or Socolow &amp; Pascala), i.e. 1000 kg di CO2 massimo per persona e per anno (solo  500 kg =metà è per uso individuali e l'altra metà per usi collettivi/comunitari).</t>
  </si>
  <si>
    <t>Risulato medio per un cittadino odierno di USA o Australia  (quota personale )</t>
  </si>
  <si>
    <t>Risulato medio per un cittadino odierno della Germania (quota personale)</t>
  </si>
  <si>
    <t>Risulato medio per un cittadino odierno del Regno Unito (quota personale)</t>
  </si>
  <si>
    <t>Risulato medio per un cittadino odierno della Francia (quota personale )</t>
  </si>
  <si>
    <t>Risulato medio per un cittadino odierno della Cina (quota personale)</t>
  </si>
  <si>
    <t>Kilometri per volo 6 (lascia -527 nella cella grigia se non hai volato)</t>
  </si>
  <si>
    <t>Total warming effect of CO2, Ozone (made by NOx), water vapour and contrails</t>
  </si>
  <si>
    <t>Kilometri per volo 7 (lascia -527 nella cella grigia se non hai volato)</t>
  </si>
  <si>
    <t xml:space="preserve"> is about 2.7 times greater than the effect of CO2 alone.</t>
  </si>
  <si>
    <t>Kilometri per volo 8 (lascia -527 nella cella grigia se non hai volato)</t>
  </si>
  <si>
    <t>(kg of CO2 = CO2 = kg of fuel * (44/12 * 156/184) [molecular masses])</t>
  </si>
  <si>
    <t>OPPURE vai su www.chooseclimate.org o un altro calcolatore per calcolare le emissioni e inserisci il risultato totale ( emissioni di CO2 in Kg per tutti i voli ) nella cella grigia su questa linea.</t>
  </si>
  <si>
    <t>Automatically takes in consideration the GHG other than CO2 if demanded above.</t>
  </si>
  <si>
    <r>
      <t xml:space="preserve">ALTRE EMISSIONI DI CO2 </t>
    </r>
    <r>
      <rPr>
        <sz val="12"/>
        <color indexed="57"/>
        <rFont val="Arial"/>
        <family val="2"/>
      </rPr>
      <t>(varie, non incluse sopra )</t>
    </r>
  </si>
  <si>
    <t>Per esempio se usi auto a carburanti fossili o fai dello ski-doo in Inverno o Scii sull'acqua d'Estate o qualsiasi emissione di CO2 non inclusa sopra in precedenza  (nota che queste emissioni di CO2 in kg = 3.66 volte il consumo di anidride carbonica in Kg ed che essa rappresenta il 75% del peso del carburante per il gas naturale, circa 80% per il gasolio, 86% per il diesel o benzina pesanti )</t>
  </si>
  <si>
    <t>LE TUE TRACCE DI ANIDRIDE CARBONICA SONO: ( emissioni totali di te stesso, la tua azienda, il tuo gruppo o associazione, la tua famiglia, la tua scuola, la tua comunità o centro sociale... )</t>
  </si>
  <si>
    <t>Numero di grandi alberi necessari per assorbire la stessa quantità di Anidride Carbonica :</t>
  </si>
  <si>
    <t>Un grande albero può assorbire 500kgs di Anidride Carbonica ( ad esempio citca 1.5 tonnellate di CO2 durante la crescita in più di 50 anni ( media  0,03 tonnellate=30kg di CO2 all'anno )</t>
  </si>
  <si>
    <t>Numero di persone nella tua famiglia, gruppo o azienda</t>
  </si>
  <si>
    <t>( Inserisci 1 se il consumo inserito qui sopra è riferito a te stesso, 2+il numero di bambini per coppia o famiglia, numero di persone di un azienda, scuola, università... )</t>
  </si>
  <si>
    <t>LE TUE TRACCE DI ANIDRIDE CARBONICA PER PERSONA SONO:</t>
  </si>
  <si>
    <t>Kilometri per anno (bus, treni diesel, trasporti pubblici guidati a combustibile fossile )</t>
  </si>
  <si>
    <t>Miglia in the UK</t>
  </si>
  <si>
    <t>FERRY/BOAT</t>
  </si>
  <si>
    <t xml:space="preserve">1 kilometer by ferry </t>
  </si>
  <si>
    <t>230kg/day</t>
  </si>
  <si>
    <t>Kilometri per anno in metropolitana, tram o treni elettrici</t>
  </si>
  <si>
    <t>( Se i treni sono in parte a diesel e in parte elettrici nella tua nazione, fa una proporzione )</t>
  </si>
  <si>
    <t>EMISSIONI DA PARTE DEI VOLI AEREI</t>
  </si>
  <si>
    <t>Inserisci la distanza del volo per ogni trasvolata effettuata ( 2 valori per un volo A/R, uno per ognuno ) - Le distanze di volto posso essere ricavate da  http://www.mapcrow.info o da http://www.infoplease.com/atlas/calculate-distance.html o calcolate dalla latitudine e longitudine delle città di partenza e arrivo su questo sito web: http://www.chooseclimate.org/flying/mapcalc.html Latidutine e longitudine delle città di partenza e arrivo in ogni parte del mondo può essere trovata su questo sito web:  http://www.infoplease.com/ipa/A0001769.html o http://www.infoplease.com/atlas/latitude-longitude.html</t>
  </si>
  <si>
    <t>Vuoi includere le emissioni GHG degli aerei oltre la CO2 ? (O3, NOx, vapore acqueo e contrails (?), in kg di CO2 equivalente ).  Yes=1  -  No=0</t>
  </si>
  <si>
    <t>GHG other than CO2 emitted by airplanes multiply the global warming effect of CO2 by 2.7 (x 1.7 added)</t>
  </si>
  <si>
    <t>(rough value per passenger: 0.5 kg of CO2/km or 0.82 kg of CO2/mile)</t>
  </si>
  <si>
    <t>Kilometri per volo 1 (lascia -527 nella cella grigia se non hai volato)</t>
  </si>
  <si>
    <t>Calculations from Chooseclimate.com :</t>
  </si>
  <si>
    <t>Kilometri per volo 2 (lascia -527 nella cella grigia se non hai volato)</t>
  </si>
  <si>
    <t>Fuel per passenger (Data for B-747)</t>
  </si>
  <si>
    <t>Kilometri per volo 3 (lascia -527 nella cella grigia se non hai volato)</t>
  </si>
  <si>
    <t>Fuel in kg = [7840 + 10.1 * (distance in km-250)] (*2 if return)</t>
  </si>
  <si>
    <t>Kilometri per volo 4 (lascia -527 nella cella grigia se non hai volato)</t>
  </si>
  <si>
    <t>(7840 kg take off-climb-descent, 10.1 kg/km cruising)</t>
  </si>
  <si>
    <t>Kilometri per volo 5 (lascia -527 nella cella grigia se non hai volato)</t>
  </si>
  <si>
    <t>Passengers = 370 * [occupancy] - In this case 75% occupancy.</t>
  </si>
  <si>
    <r>
      <t>RISCALDAMENTO ELETTRICO : lascia</t>
    </r>
    <r>
      <rPr>
        <sz val="10"/>
        <color indexed="10"/>
        <rFont val="Arial"/>
        <family val="2"/>
      </rPr>
      <t xml:space="preserve"> tutte le celle qui sopra vuote, poiché il riscaldamento elettrico è incluso nel tuo COSUMO ELETTRICO qui sotto:</t>
    </r>
  </si>
  <si>
    <t>EMISSIONI DERIVATE DAL CONSUMO DI ELETTRICITA'</t>
  </si>
  <si>
    <t>Inserisci il numero di kWh consumati per ogni linea che si adatta alla tua situazione:</t>
  </si>
  <si>
    <t>Consumo di elettricità convenzionale all'anno (in kWh)</t>
  </si>
  <si>
    <t>Fonte del fattore di conversione: from statistical data for your country entered at the top of this page</t>
  </si>
  <si>
    <t>Consumo annuale di elettricità Verde ( non di origine fossile ) Prodotta Domesticamente (in kWh)</t>
  </si>
  <si>
    <t>Fonte del fattore di conversione: given for wind energy with full life-cycle analysis on http://en.wikipedia.org/wiki/Wind_power or http://72.36.212.11/prod/180-1.pdf</t>
  </si>
  <si>
    <t>Assicurati che la tua elettricità Verde ( Eolica, Solare o una piccola sorgente Idroelettrica ) o il tuo fornitore di elettricità Verde non bruci nessun tipo di gas ( perisino con la cogenerazione ); se lo fa sostituisci il fattore di conversione con un valore adeguato molto più grande.</t>
  </si>
  <si>
    <t>EMISSIONI DELL'AUTO E DEGLI AUTOVEICOLI GUIDATI</t>
  </si>
  <si>
    <t>Inserisci il tuo consumo di carburante in litri OPPURE galloni  (consumo per anno)</t>
  </si>
  <si>
    <t>Consumo di benzina (in litri)</t>
  </si>
  <si>
    <t>Consumo di benzina (in US galloni liquidi)</t>
  </si>
  <si>
    <t>Consumo di benzina (in UK gallons)</t>
  </si>
  <si>
    <t>Consumo di diesel (in litri)</t>
  </si>
  <si>
    <t>Consumo di diesel (in US galloni liquidi)</t>
  </si>
  <si>
    <t>Consumo di diesel (in UK gallons)</t>
  </si>
  <si>
    <t>OPPURE</t>
  </si>
  <si>
    <t>Inserisci il tuo kilometraggio ( in miglia OPPURE kilometri per anno ) a seconda del tuo tipo di auto:</t>
  </si>
  <si>
    <t>Piccola auto a benzina fino a motori da 1.4 litri ( 1400 cc )</t>
  </si>
  <si>
    <t xml:space="preserve">Kilometri </t>
  </si>
  <si>
    <t xml:space="preserve">Miglia </t>
  </si>
  <si>
    <t>Media auto a benzina per motori da 1.4 a 2.1 litri ( dal 1400cc al 2100 cc )</t>
  </si>
  <si>
    <t xml:space="preserve">Grande auto a benzina oltre i 2.1 litri ( oltre 2100 cc ) </t>
  </si>
  <si>
    <t xml:space="preserve">Piccola auto diesel sino a motori da 2.0 litri ( 2000 cc ) </t>
  </si>
  <si>
    <t>Grandi auto diesel con motori oltre 2.0 litri ( oltre 2000 cc )</t>
  </si>
  <si>
    <t xml:space="preserve">Auto a GPL </t>
  </si>
  <si>
    <t>EMISSIONI DEL TRASPORTO PUBBLICO ( bus, treni diesel, ecc. )</t>
  </si>
  <si>
    <t>Ora immetti i tuoi dati personali nelle celle grigie qui sotto come indicato; le celle non grigie non dovrebbero essere modificate (  sono fattori di conversioni e calcoli )</t>
  </si>
  <si>
    <t>EMISSIONI DI UNA CASA O EDIFICIO RISCALDATO</t>
  </si>
  <si>
    <t>RISCALDAMENTO A GAS</t>
  </si>
  <si>
    <t>Inserire un numero per uno solo dei seguenti campi:</t>
  </si>
  <si>
    <t>Tuo consumo di gas naturale (in metri cubici )</t>
  </si>
  <si>
    <t>kg di CO2</t>
  </si>
  <si>
    <t>Fonte del fattore di conversione: Carbon trust</t>
  </si>
  <si>
    <t>Tuo consumo di gas naturale (in centinaia di piedi cubici, 100*Il numero immesso )</t>
  </si>
  <si>
    <t>Fonte del fattore di conversione: 0.353 hundreds of cubic feet in a cubic meter (from line above)</t>
  </si>
  <si>
    <t>Tuo consumo di gas naturale (in kWh – kilowatt ore)</t>
  </si>
  <si>
    <t>Fonte del fattore di conversione: Defra data</t>
  </si>
  <si>
    <t>La tua bolletta del gas in Francia in €</t>
  </si>
  <si>
    <t>(hors abonnement, à 0,402€/m3)</t>
  </si>
  <si>
    <t>La tua bolletta del gas  in UK in £ (approssimativamente)</t>
  </si>
  <si>
    <t>RISCALDAMENTO A CARBONE</t>
  </si>
  <si>
    <t>In kilogrammi – Ricorda che una sacca grande di carbone solitamente pesa circa 50 Kilogrammi.</t>
  </si>
  <si>
    <t>Kilogrammi di carbone per il riscaldamento domestico ( media qualità )</t>
  </si>
  <si>
    <t xml:space="preserve">Kilograms of bituminous </t>
  </si>
  <si>
    <t>WOOD</t>
  </si>
  <si>
    <t>Kilogrammi di antracite (carbone di alta qualità )</t>
  </si>
  <si>
    <t>Source : Perry Lindstrom, U.S. Greenhouse Gas Inventory, Energy Information Administration (DOE)</t>
  </si>
  <si>
    <t>Kilogrammi di carbone di media qualità utilizzati nell'industria</t>
  </si>
  <si>
    <t>Kilogrammi di carbone di bassissima qualità  (lignite)</t>
  </si>
  <si>
    <t>Nota: il legno utilizzato per il riscaldamento non è preso in considerazione in quanto la CO2 rilasciata sta solo ritornando all'atmosfera dalla quale proviene originariamente</t>
  </si>
  <si>
    <t>RISCALDAMENTO A PETROLIO</t>
  </si>
  <si>
    <t>Il tuo consumo per il riscaldamento a petrolio  (in litri)</t>
  </si>
  <si>
    <t>Il tuo consumo per il riscaldamento a petrolio (in galloni degli USA )</t>
  </si>
  <si>
    <t>1 US liq gal = 3.79 litre</t>
  </si>
  <si>
    <t>Il tuo consumo per il riscaldamento a petrolio (in galloni UK )</t>
  </si>
  <si>
    <t>1 UK gal = 4.55 litre</t>
  </si>
  <si>
    <t>Other unit conversions : http://www.hoptechno.com/nightcrew/sante7000/convert.cfm</t>
  </si>
  <si>
    <t>CALCOLA LE TUE EMISSIONI DI CO2</t>
  </si>
  <si>
    <t>IL TUO RISPARMIO DI CO2, OBBIETT. CO2</t>
  </si>
  <si>
    <t>(TRACCE DI CARBONIO)</t>
  </si>
  <si>
    <t>e come ridurre le tue emissioni</t>
  </si>
  <si>
    <t>EFN (www.ecolo.org) propone questo semplice strumento per aiutarti a calcolare le tue tracce di carbonio ( emissioni CO2)</t>
  </si>
  <si>
    <t>Può essere usato per calcolare le emissioni di una famiglia, azienda, gruppo o persona individuale.</t>
  </si>
  <si>
    <t>Scopri quanto sia importante per il pianeta la riduzione di Carbonio nella tua stessa vita ( o famiglia, o azienda, o gruppo )</t>
  </si>
  <si>
    <t>Con questo nuovo e potente sistema di calcolo e simulazione di Anidride Carbonica.</t>
  </si>
  <si>
    <t>Prima di tutto, misurate i vostri metri e prendere nota dell'elettricità dei contatori del gas and i Kilometri totali dell'auto dal 1° Gennaio al 31 Dicembre</t>
  </si>
  <si>
    <t>Imettere i dati statistici riguardo li tuo paese in queste tre celle grigie</t>
  </si>
  <si>
    <t>Qual'è la popolazione nella tua nazione ( milioni di abitanti ) :</t>
  </si>
  <si>
    <t>See http://www.ecolo.org/documents/documents_in_english/IEA-Stats-all-03.html</t>
  </si>
  <si>
    <t>Quali sono le Emissioni di CO2 nella tua nazione ?  (in Mt = millioni of tonnellate of CO2)</t>
  </si>
  <si>
    <t>Qual'è il consumo di elettricità nella tua nazione  (in TWh) :</t>
  </si>
  <si>
    <t>Emissioni di CO2 per elettricità prodotta nella tua nazione (in grammi di CO2/kWh)</t>
  </si>
  <si>
    <t>See http://www.ecolo.org/documents/documents_in_english/CO2-per-kWh.gif</t>
  </si>
  <si>
    <t>CO2 emessa dalla tua nazione per la produzione di elettricità :</t>
  </si>
  <si>
    <t xml:space="preserve"> millioni di tonnellate di CO2</t>
  </si>
  <si>
    <t xml:space="preserve"> (calcolata dalle due linee qui sopra )</t>
  </si>
  <si>
    <t>Numero di grandi alberi necessari ad assorbire la stessa quantità di Anidride Carbonica  (millioni di alberi) :</t>
  </si>
  <si>
    <t>Un albero grande assorbe circa 1.5 tonnellate di CO2 durante la crescita per 50 anni, ossia 0.03 tonnellate/anno</t>
  </si>
  <si>
    <t>Superfice di foresta necessaria per assorbire la stessa quantità di Anidride carbonica ( in Km^2 ) :</t>
  </si>
  <si>
    <t>Assumendo che una foresta sia composta da un albero grande come sopra riportato ogni 10 metri  (10 000 grandi alberi per kilometro quadrato )</t>
  </si>
</sst>
</file>

<file path=xl/styles.xml><?xml version="1.0" encoding="utf-8"?>
<styleSheet xmlns="http://schemas.openxmlformats.org/spreadsheetml/2006/main">
  <numFmts count="18">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
    <numFmt numFmtId="165" formatCode="#,##0.0"/>
    <numFmt numFmtId="166" formatCode="_(* #,##0.00_);_(* \(#,##0.00\);_(* \-??_);_(@_)"/>
    <numFmt numFmtId="167" formatCode="_-* #,##0.000_-;\-* #,##0.000_-;_-* \-??_-;_-@_-"/>
    <numFmt numFmtId="168" formatCode="_-* #,##0_-;\-* #,##0_-;_-* \-??_-;_-@_-"/>
    <numFmt numFmtId="169" formatCode="0.000"/>
    <numFmt numFmtId="170" formatCode="_-* #,##0.00_-;\-* #,##0.00_-;_-* \-??_-;_-@_-"/>
    <numFmt numFmtId="171" formatCode="0.0"/>
    <numFmt numFmtId="172" formatCode="0E+00"/>
    <numFmt numFmtId="173" formatCode="_-* #,##0.0_-;\-* #,##0.0_-;_-* \-??_-;_-@_-"/>
  </numFmts>
  <fonts count="27">
    <font>
      <sz val="10"/>
      <name val="Arial"/>
      <family val="2"/>
    </font>
    <font>
      <b/>
      <sz val="24"/>
      <color indexed="9"/>
      <name val="Arial"/>
      <family val="2"/>
    </font>
    <font>
      <sz val="10"/>
      <color indexed="9"/>
      <name val="Arial"/>
      <family val="2"/>
    </font>
    <font>
      <b/>
      <sz val="24"/>
      <color indexed="39"/>
      <name val="Arial"/>
      <family val="2"/>
    </font>
    <font>
      <b/>
      <sz val="10"/>
      <color indexed="57"/>
      <name val="Arial"/>
      <family val="2"/>
    </font>
    <font>
      <b/>
      <sz val="16"/>
      <color indexed="12"/>
      <name val="Arial"/>
      <family val="2"/>
    </font>
    <font>
      <sz val="10"/>
      <color indexed="10"/>
      <name val="Arial"/>
      <family val="2"/>
    </font>
    <font>
      <b/>
      <sz val="10"/>
      <name val="Arial"/>
      <family val="2"/>
    </font>
    <font>
      <sz val="8"/>
      <color indexed="10"/>
      <name val="Arial"/>
      <family val="2"/>
    </font>
    <font>
      <b/>
      <sz val="15"/>
      <color indexed="9"/>
      <name val="Arial"/>
      <family val="2"/>
    </font>
    <font>
      <b/>
      <sz val="15"/>
      <color indexed="57"/>
      <name val="Arial"/>
      <family val="2"/>
    </font>
    <font>
      <b/>
      <sz val="15"/>
      <name val="Arial"/>
      <family val="2"/>
    </font>
    <font>
      <sz val="10"/>
      <color indexed="8"/>
      <name val="Arial"/>
      <family val="2"/>
    </font>
    <font>
      <u val="single"/>
      <sz val="10"/>
      <name val="Arial"/>
      <family val="2"/>
    </font>
    <font>
      <sz val="12"/>
      <color indexed="57"/>
      <name val="Arial"/>
      <family val="2"/>
    </font>
    <font>
      <sz val="15"/>
      <color indexed="9"/>
      <name val="Arial"/>
      <family val="2"/>
    </font>
    <font>
      <b/>
      <sz val="20"/>
      <color indexed="9"/>
      <name val="Arial"/>
      <family val="2"/>
    </font>
    <font>
      <sz val="10"/>
      <color indexed="57"/>
      <name val="Arial"/>
      <family val="2"/>
    </font>
    <font>
      <sz val="10"/>
      <color indexed="39"/>
      <name val="Arial"/>
      <family val="2"/>
    </font>
    <font>
      <b/>
      <sz val="10"/>
      <color indexed="9"/>
      <name val="Arial"/>
      <family val="2"/>
    </font>
    <font>
      <b/>
      <sz val="20"/>
      <color indexed="57"/>
      <name val="Arial"/>
      <family val="2"/>
    </font>
    <font>
      <b/>
      <vertAlign val="superscript"/>
      <sz val="15"/>
      <color indexed="9"/>
      <name val="Arial"/>
      <family val="2"/>
    </font>
    <font>
      <b/>
      <sz val="15"/>
      <color indexed="10"/>
      <name val="Arial"/>
      <family val="2"/>
    </font>
    <font>
      <i/>
      <sz val="10"/>
      <name val="Arial"/>
      <family val="2"/>
    </font>
    <font>
      <b/>
      <i/>
      <sz val="10"/>
      <name val="Arial"/>
      <family val="2"/>
    </font>
    <font>
      <b/>
      <sz val="14"/>
      <name val="Arial"/>
      <family val="2"/>
    </font>
    <font>
      <vertAlign val="subscript"/>
      <sz val="10"/>
      <name val="Arial"/>
      <family val="2"/>
    </font>
  </fonts>
  <fills count="8">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medium">
        <color indexed="9"/>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medium">
        <color indexed="8"/>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2">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xf>
    <xf numFmtId="0" fontId="1" fillId="2" borderId="0" xfId="0" applyFont="1" applyFill="1" applyAlignment="1">
      <alignment horizontal="left"/>
    </xf>
    <xf numFmtId="0" fontId="2" fillId="2" borderId="0" xfId="0" applyFont="1" applyFill="1" applyAlignment="1">
      <alignment horizontal="left"/>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1" fontId="4" fillId="0" borderId="0" xfId="0" applyNumberFormat="1" applyFont="1" applyAlignment="1">
      <alignment horizontal="center"/>
    </xf>
    <xf numFmtId="0" fontId="5" fillId="0" borderId="0" xfId="0" applyFont="1" applyAlignment="1">
      <alignment/>
    </xf>
    <xf numFmtId="0" fontId="6" fillId="0" borderId="0" xfId="0" applyFont="1" applyAlignment="1">
      <alignment vertical="center"/>
    </xf>
    <xf numFmtId="0" fontId="7" fillId="0" borderId="0" xfId="0" applyFont="1" applyAlignment="1">
      <alignment horizontal="center" wrapText="1"/>
    </xf>
    <xf numFmtId="1" fontId="7" fillId="0" borderId="0" xfId="0" applyNumberFormat="1" applyFont="1" applyAlignment="1">
      <alignment horizontal="center" wrapText="1"/>
    </xf>
    <xf numFmtId="0" fontId="0" fillId="0" borderId="0" xfId="0" applyFont="1" applyAlignment="1">
      <alignment/>
    </xf>
    <xf numFmtId="0" fontId="8" fillId="0" borderId="0" xfId="0" applyFont="1" applyAlignment="1">
      <alignment vertical="center"/>
    </xf>
    <xf numFmtId="164" fontId="0" fillId="0" borderId="0" xfId="0" applyNumberFormat="1" applyFont="1" applyAlignment="1">
      <alignment/>
    </xf>
    <xf numFmtId="0" fontId="0" fillId="3" borderId="1" xfId="0" applyFill="1" applyBorder="1" applyAlignment="1">
      <alignment horizontal="center"/>
    </xf>
    <xf numFmtId="0" fontId="0" fillId="0" borderId="0" xfId="0" applyFont="1" applyAlignment="1">
      <alignment horizontal="left"/>
    </xf>
    <xf numFmtId="0" fontId="0" fillId="0" borderId="0" xfId="0" applyFont="1" applyFill="1" applyBorder="1" applyAlignment="1">
      <alignment vertical="center"/>
    </xf>
    <xf numFmtId="1" fontId="0" fillId="3" borderId="1"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1" fontId="0" fillId="0" borderId="0" xfId="0" applyNumberFormat="1" applyAlignment="1">
      <alignment horizontal="left"/>
    </xf>
    <xf numFmtId="0" fontId="9" fillId="2" borderId="0" xfId="0" applyFont="1" applyFill="1" applyBorder="1" applyAlignment="1">
      <alignment vertical="center" wrapText="1"/>
    </xf>
    <xf numFmtId="1" fontId="0" fillId="0" borderId="0" xfId="0" applyNumberFormat="1" applyAlignment="1">
      <alignment horizontal="right"/>
    </xf>
    <xf numFmtId="3" fontId="9" fillId="2" borderId="0" xfId="0" applyNumberFormat="1" applyFont="1" applyFill="1" applyAlignment="1">
      <alignment horizontal="right"/>
    </xf>
    <xf numFmtId="3" fontId="9" fillId="2" borderId="0" xfId="0" applyNumberFormat="1" applyFont="1" applyFill="1" applyBorder="1" applyAlignment="1">
      <alignment horizontal="right"/>
    </xf>
    <xf numFmtId="0" fontId="6" fillId="0" borderId="0" xfId="0" applyFont="1" applyFill="1" applyBorder="1" applyAlignment="1">
      <alignment vertical="center"/>
    </xf>
    <xf numFmtId="0" fontId="10" fillId="0" borderId="0" xfId="0" applyFont="1" applyAlignment="1">
      <alignment/>
    </xf>
    <xf numFmtId="0" fontId="0" fillId="0" borderId="0" xfId="0" applyAlignment="1">
      <alignment horizontal="center" wrapText="1"/>
    </xf>
    <xf numFmtId="0" fontId="11" fillId="0" borderId="0" xfId="0" applyFont="1" applyAlignment="1">
      <alignment/>
    </xf>
    <xf numFmtId="164" fontId="7" fillId="0" borderId="0" xfId="0" applyNumberFormat="1" applyFont="1" applyAlignment="1">
      <alignment wrapText="1"/>
    </xf>
    <xf numFmtId="0" fontId="7" fillId="0" borderId="0" xfId="0" applyFont="1" applyAlignment="1">
      <alignment wrapText="1"/>
    </xf>
    <xf numFmtId="0" fontId="7" fillId="0" borderId="0" xfId="0" applyFont="1" applyAlignment="1">
      <alignment/>
    </xf>
    <xf numFmtId="0" fontId="0" fillId="0" borderId="0" xfId="0" applyFill="1" applyAlignment="1">
      <alignment horizontal="center"/>
    </xf>
    <xf numFmtId="0" fontId="6" fillId="0" borderId="0" xfId="0" applyFont="1" applyAlignment="1">
      <alignment/>
    </xf>
    <xf numFmtId="1" fontId="7" fillId="0" borderId="1" xfId="0" applyNumberFormat="1" applyFont="1" applyFill="1" applyBorder="1" applyAlignment="1">
      <alignment horizontal="center"/>
    </xf>
    <xf numFmtId="164" fontId="12" fillId="0" borderId="0" xfId="0" applyNumberFormat="1" applyFont="1" applyFill="1" applyBorder="1" applyAlignment="1">
      <alignment vertical="center"/>
    </xf>
    <xf numFmtId="1" fontId="7" fillId="0" borderId="0" xfId="0" applyNumberFormat="1" applyFont="1" applyFill="1" applyAlignment="1">
      <alignment horizontal="center"/>
    </xf>
    <xf numFmtId="0" fontId="7" fillId="0" borderId="0" xfId="0" applyFont="1" applyAlignment="1">
      <alignment horizontal="center"/>
    </xf>
    <xf numFmtId="0" fontId="0" fillId="3" borderId="1" xfId="0" applyFont="1" applyFill="1" applyBorder="1" applyAlignment="1">
      <alignment horizontal="center"/>
    </xf>
    <xf numFmtId="0" fontId="0" fillId="0" borderId="0" xfId="0" applyFont="1" applyAlignment="1">
      <alignment horizontal="center"/>
    </xf>
    <xf numFmtId="164" fontId="12" fillId="0" borderId="0" xfId="0" applyNumberFormat="1" applyFont="1" applyAlignment="1">
      <alignment/>
    </xf>
    <xf numFmtId="0" fontId="0" fillId="0" borderId="0" xfId="0" applyFont="1" applyFill="1" applyBorder="1" applyAlignment="1">
      <alignment/>
    </xf>
    <xf numFmtId="1" fontId="7" fillId="0" borderId="0" xfId="0" applyNumberFormat="1" applyFont="1" applyFill="1" applyBorder="1" applyAlignment="1">
      <alignment horizontal="center"/>
    </xf>
    <xf numFmtId="0" fontId="0" fillId="3" borderId="2" xfId="0" applyFill="1" applyBorder="1" applyAlignment="1">
      <alignment horizontal="center"/>
    </xf>
    <xf numFmtId="1" fontId="7" fillId="0" borderId="2" xfId="0" applyNumberFormat="1" applyFont="1" applyFill="1" applyBorder="1" applyAlignment="1">
      <alignment horizontal="center"/>
    </xf>
    <xf numFmtId="0" fontId="6" fillId="0" borderId="0" xfId="0" applyFont="1" applyAlignment="1">
      <alignment wrapText="1"/>
    </xf>
    <xf numFmtId="0" fontId="0" fillId="0" borderId="0" xfId="0" applyAlignment="1">
      <alignment wrapText="1"/>
    </xf>
    <xf numFmtId="0" fontId="12" fillId="0" borderId="0" xfId="0" applyFont="1" applyAlignment="1">
      <alignment wrapText="1"/>
    </xf>
    <xf numFmtId="0" fontId="13" fillId="0" borderId="0" xfId="0" applyFont="1" applyAlignment="1">
      <alignment/>
    </xf>
    <xf numFmtId="1" fontId="7" fillId="0" borderId="1" xfId="0" applyNumberFormat="1" applyFont="1" applyBorder="1" applyAlignment="1">
      <alignment horizontal="center"/>
    </xf>
    <xf numFmtId="164" fontId="12" fillId="0" borderId="0" xfId="0" applyNumberFormat="1" applyFont="1" applyAlignment="1">
      <alignment vertical="center"/>
    </xf>
    <xf numFmtId="0" fontId="0" fillId="0" borderId="3" xfId="0" applyBorder="1" applyAlignment="1">
      <alignment horizontal="center"/>
    </xf>
    <xf numFmtId="0" fontId="10" fillId="0" borderId="0" xfId="0" applyFont="1" applyAlignment="1">
      <alignment wrapText="1"/>
    </xf>
    <xf numFmtId="0" fontId="9" fillId="2" borderId="0" xfId="0" applyFont="1" applyFill="1" applyBorder="1" applyAlignment="1">
      <alignment wrapText="1"/>
    </xf>
    <xf numFmtId="0" fontId="15" fillId="2" borderId="0" xfId="0" applyFont="1" applyFill="1" applyBorder="1" applyAlignment="1">
      <alignment horizontal="center"/>
    </xf>
    <xf numFmtId="1" fontId="16" fillId="2" borderId="0" xfId="0" applyNumberFormat="1" applyFont="1" applyFill="1" applyBorder="1" applyAlignment="1">
      <alignment horizontal="center" vertical="center"/>
    </xf>
    <xf numFmtId="164" fontId="9" fillId="2" borderId="0" xfId="0" applyNumberFormat="1" applyFont="1" applyFill="1" applyBorder="1" applyAlignment="1">
      <alignment vertical="center"/>
    </xf>
    <xf numFmtId="0" fontId="15" fillId="2" borderId="0" xfId="0" applyFont="1" applyFill="1" applyBorder="1" applyAlignment="1">
      <alignment/>
    </xf>
    <xf numFmtId="1" fontId="11" fillId="0" borderId="0" xfId="0" applyNumberFormat="1" applyFont="1" applyAlignment="1">
      <alignment horizontal="center"/>
    </xf>
    <xf numFmtId="0" fontId="9" fillId="2" borderId="0" xfId="0" applyFont="1" applyFill="1" applyBorder="1" applyAlignment="1">
      <alignment/>
    </xf>
    <xf numFmtId="3" fontId="9" fillId="2" borderId="0" xfId="0" applyNumberFormat="1" applyFont="1" applyFill="1" applyAlignment="1">
      <alignment horizontal="left"/>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17" fillId="0" borderId="0" xfId="0" applyFont="1" applyAlignment="1">
      <alignment horizontal="left"/>
    </xf>
    <xf numFmtId="0" fontId="17" fillId="0" borderId="0" xfId="0" applyFont="1" applyAlignment="1">
      <alignment/>
    </xf>
    <xf numFmtId="0" fontId="17" fillId="0" borderId="0" xfId="0" applyFont="1" applyAlignment="1">
      <alignment/>
    </xf>
    <xf numFmtId="0" fontId="17" fillId="0" borderId="0" xfId="0" applyFont="1" applyAlignment="1">
      <alignment horizontal="center"/>
    </xf>
    <xf numFmtId="164" fontId="18" fillId="0" borderId="0" xfId="0" applyNumberFormat="1" applyFont="1" applyAlignment="1">
      <alignment/>
    </xf>
    <xf numFmtId="0" fontId="9" fillId="2" borderId="0" xfId="0" applyFont="1" applyFill="1" applyAlignment="1">
      <alignment/>
    </xf>
    <xf numFmtId="0" fontId="2" fillId="2" borderId="0" xfId="0" applyFont="1" applyFill="1" applyAlignment="1">
      <alignment horizontal="center"/>
    </xf>
    <xf numFmtId="1" fontId="2" fillId="2" borderId="0" xfId="0" applyNumberFormat="1" applyFont="1" applyFill="1" applyAlignment="1">
      <alignment horizontal="center"/>
    </xf>
    <xf numFmtId="164" fontId="2" fillId="2" borderId="0" xfId="0" applyNumberFormat="1" applyFont="1" applyFill="1" applyAlignment="1">
      <alignment/>
    </xf>
    <xf numFmtId="0" fontId="2" fillId="2" borderId="0" xfId="0" applyFont="1" applyFill="1" applyAlignment="1">
      <alignment/>
    </xf>
    <xf numFmtId="1" fontId="10" fillId="0" borderId="0" xfId="0" applyNumberFormat="1" applyFont="1" applyAlignment="1">
      <alignment horizontal="left"/>
    </xf>
    <xf numFmtId="1" fontId="19" fillId="2" borderId="4" xfId="0" applyNumberFormat="1" applyFont="1" applyFill="1" applyBorder="1" applyAlignment="1">
      <alignment horizontal="center"/>
    </xf>
    <xf numFmtId="164" fontId="19" fillId="2" borderId="5" xfId="0" applyNumberFormat="1" applyFont="1" applyFill="1" applyBorder="1" applyAlignment="1">
      <alignment/>
    </xf>
    <xf numFmtId="1" fontId="19" fillId="2" borderId="6" xfId="0" applyNumberFormat="1" applyFont="1" applyFill="1" applyBorder="1" applyAlignment="1">
      <alignment horizontal="center"/>
    </xf>
    <xf numFmtId="164" fontId="19" fillId="2" borderId="7" xfId="0" applyNumberFormat="1" applyFont="1" applyFill="1" applyBorder="1" applyAlignment="1">
      <alignment/>
    </xf>
    <xf numFmtId="1" fontId="19" fillId="2" borderId="8" xfId="0" applyNumberFormat="1" applyFont="1" applyFill="1" applyBorder="1" applyAlignment="1">
      <alignment horizontal="center"/>
    </xf>
    <xf numFmtId="164" fontId="19" fillId="2" borderId="9" xfId="0" applyNumberFormat="1" applyFont="1" applyFill="1" applyBorder="1" applyAlignment="1">
      <alignment/>
    </xf>
    <xf numFmtId="1" fontId="9" fillId="2" borderId="0" xfId="0" applyNumberFormat="1" applyFont="1" applyFill="1" applyBorder="1" applyAlignment="1">
      <alignment horizontal="center"/>
    </xf>
    <xf numFmtId="164" fontId="9" fillId="2" borderId="0" xfId="0" applyNumberFormat="1" applyFont="1" applyFill="1" applyBorder="1" applyAlignment="1">
      <alignment/>
    </xf>
    <xf numFmtId="0" fontId="2" fillId="2" borderId="0" xfId="0" applyFont="1" applyFill="1" applyBorder="1" applyAlignment="1">
      <alignment/>
    </xf>
    <xf numFmtId="1" fontId="9" fillId="2" borderId="0" xfId="0" applyNumberFormat="1" applyFont="1" applyFill="1" applyBorder="1" applyAlignment="1">
      <alignment horizontal="right"/>
    </xf>
    <xf numFmtId="1" fontId="9" fillId="2" borderId="0" xfId="0" applyNumberFormat="1" applyFont="1" applyFill="1" applyBorder="1" applyAlignment="1">
      <alignment horizontal="left"/>
    </xf>
    <xf numFmtId="0" fontId="10" fillId="4" borderId="0" xfId="0" applyFont="1" applyFill="1" applyBorder="1" applyAlignment="1">
      <alignment/>
    </xf>
    <xf numFmtId="0" fontId="17" fillId="4" borderId="0" xfId="0" applyFont="1" applyFill="1" applyBorder="1" applyAlignment="1">
      <alignment horizontal="center"/>
    </xf>
    <xf numFmtId="1" fontId="20" fillId="4" borderId="0" xfId="0" applyNumberFormat="1" applyFont="1" applyFill="1" applyBorder="1" applyAlignment="1">
      <alignment horizontal="center"/>
    </xf>
    <xf numFmtId="164" fontId="10" fillId="4" borderId="0" xfId="0" applyNumberFormat="1" applyFont="1" applyFill="1" applyBorder="1" applyAlignment="1">
      <alignment/>
    </xf>
    <xf numFmtId="0" fontId="17" fillId="4" borderId="0" xfId="0" applyFont="1" applyFill="1" applyBorder="1" applyAlignment="1">
      <alignment/>
    </xf>
    <xf numFmtId="0" fontId="17" fillId="4" borderId="0" xfId="0" applyFont="1" applyFill="1" applyAlignment="1">
      <alignment/>
    </xf>
    <xf numFmtId="1" fontId="0" fillId="0" borderId="0" xfId="0" applyNumberFormat="1" applyAlignment="1">
      <alignment/>
    </xf>
    <xf numFmtId="0" fontId="9" fillId="2" borderId="0" xfId="0" applyFont="1" applyFill="1" applyBorder="1" applyAlignment="1">
      <alignment horizontal="center"/>
    </xf>
    <xf numFmtId="0" fontId="9" fillId="2" borderId="0" xfId="0" applyFont="1" applyFill="1" applyBorder="1" applyAlignment="1">
      <alignment horizontal="left"/>
    </xf>
    <xf numFmtId="1" fontId="16" fillId="2" borderId="0" xfId="0" applyNumberFormat="1" applyFont="1" applyFill="1" applyBorder="1" applyAlignment="1">
      <alignment horizontal="center"/>
    </xf>
    <xf numFmtId="1" fontId="2" fillId="2" borderId="0" xfId="0" applyNumberFormat="1" applyFont="1" applyFill="1" applyBorder="1" applyAlignment="1">
      <alignment/>
    </xf>
    <xf numFmtId="0" fontId="2" fillId="2" borderId="0" xfId="0" applyFont="1" applyFill="1" applyBorder="1" applyAlignment="1">
      <alignment horizontal="center"/>
    </xf>
    <xf numFmtId="0" fontId="10" fillId="0" borderId="0" xfId="0" applyFont="1" applyFill="1" applyBorder="1" applyAlignment="1">
      <alignment/>
    </xf>
    <xf numFmtId="0" fontId="17" fillId="0" borderId="0" xfId="0" applyFont="1" applyFill="1" applyBorder="1" applyAlignment="1">
      <alignment horizontal="center"/>
    </xf>
    <xf numFmtId="1" fontId="20" fillId="0" borderId="0" xfId="0" applyNumberFormat="1" applyFont="1" applyFill="1" applyBorder="1" applyAlignment="1">
      <alignment horizontal="center"/>
    </xf>
    <xf numFmtId="164" fontId="10" fillId="0" borderId="0" xfId="0" applyNumberFormat="1" applyFont="1" applyFill="1" applyBorder="1" applyAlignment="1">
      <alignment/>
    </xf>
    <xf numFmtId="0" fontId="17" fillId="0" borderId="0" xfId="0" applyFont="1" applyFill="1" applyBorder="1" applyAlignment="1">
      <alignment/>
    </xf>
    <xf numFmtId="1" fontId="7" fillId="0" borderId="0" xfId="0" applyNumberFormat="1" applyFont="1" applyAlignment="1">
      <alignment horizontal="right"/>
    </xf>
    <xf numFmtId="164" fontId="7" fillId="0" borderId="0" xfId="0" applyNumberFormat="1" applyFont="1" applyAlignment="1">
      <alignment/>
    </xf>
    <xf numFmtId="165" fontId="9" fillId="2" borderId="0" xfId="0" applyNumberFormat="1" applyFont="1" applyFill="1" applyAlignment="1">
      <alignment horizontal="right"/>
    </xf>
    <xf numFmtId="1" fontId="9" fillId="2" borderId="0" xfId="0" applyNumberFormat="1" applyFont="1" applyFill="1" applyAlignment="1">
      <alignment horizontal="left"/>
    </xf>
    <xf numFmtId="165" fontId="0" fillId="0" borderId="0" xfId="0" applyNumberFormat="1" applyAlignment="1">
      <alignment horizontal="center"/>
    </xf>
    <xf numFmtId="1" fontId="9" fillId="2" borderId="0" xfId="0" applyNumberFormat="1" applyFont="1" applyFill="1" applyAlignment="1">
      <alignment horizontal="right"/>
    </xf>
    <xf numFmtId="0" fontId="12" fillId="4" borderId="0" xfId="0" applyFont="1" applyFill="1" applyAlignment="1">
      <alignment/>
    </xf>
    <xf numFmtId="0" fontId="12" fillId="4" borderId="0" xfId="0" applyFont="1" applyFill="1" applyAlignment="1">
      <alignment horizontal="center"/>
    </xf>
    <xf numFmtId="1" fontId="12" fillId="4" borderId="0" xfId="0" applyNumberFormat="1" applyFont="1" applyFill="1" applyAlignment="1">
      <alignment horizontal="center"/>
    </xf>
    <xf numFmtId="164" fontId="12" fillId="4" borderId="0" xfId="0" applyNumberFormat="1" applyFont="1" applyFill="1" applyAlignment="1">
      <alignment/>
    </xf>
    <xf numFmtId="3" fontId="22" fillId="2" borderId="0" xfId="0" applyNumberFormat="1" applyFont="1" applyFill="1" applyAlignment="1">
      <alignment horizontal="right"/>
    </xf>
    <xf numFmtId="164" fontId="9" fillId="2" borderId="0" xfId="0" applyNumberFormat="1" applyFont="1" applyFill="1" applyAlignment="1">
      <alignment/>
    </xf>
    <xf numFmtId="0" fontId="0" fillId="0" borderId="0" xfId="0" applyFont="1" applyFill="1" applyAlignment="1">
      <alignment/>
    </xf>
    <xf numFmtId="1" fontId="16" fillId="2" borderId="0" xfId="0" applyNumberFormat="1" applyFont="1" applyFill="1" applyAlignment="1">
      <alignment horizontal="center"/>
    </xf>
    <xf numFmtId="0" fontId="9" fillId="2" borderId="0" xfId="0" applyFont="1" applyFill="1" applyAlignment="1">
      <alignment horizontal="center"/>
    </xf>
    <xf numFmtId="1" fontId="9" fillId="2" borderId="0" xfId="0" applyNumberFormat="1" applyFont="1" applyFill="1" applyAlignment="1">
      <alignment horizontal="center"/>
    </xf>
    <xf numFmtId="0" fontId="17" fillId="0" borderId="0" xfId="0" applyFont="1" applyAlignment="1">
      <alignment wrapText="1"/>
    </xf>
    <xf numFmtId="0" fontId="7" fillId="0" borderId="0" xfId="0" applyFont="1" applyBorder="1" applyAlignment="1">
      <alignment/>
    </xf>
    <xf numFmtId="166" fontId="19" fillId="5" borderId="10" xfId="15" applyFont="1" applyFill="1" applyBorder="1" applyAlignment="1" applyProtection="1">
      <alignment/>
      <protection/>
    </xf>
    <xf numFmtId="0" fontId="19" fillId="5" borderId="11" xfId="0" applyFont="1" applyFill="1" applyBorder="1" applyAlignment="1">
      <alignment/>
    </xf>
    <xf numFmtId="0" fontId="19" fillId="5" borderId="12" xfId="0" applyFont="1" applyFill="1" applyBorder="1" applyAlignment="1">
      <alignment/>
    </xf>
    <xf numFmtId="0" fontId="24" fillId="0" borderId="13" xfId="0" applyFont="1" applyFill="1" applyBorder="1" applyAlignment="1">
      <alignment/>
    </xf>
    <xf numFmtId="0" fontId="0" fillId="0" borderId="0" xfId="0" applyAlignment="1">
      <alignment/>
    </xf>
    <xf numFmtId="0" fontId="19" fillId="5" borderId="10" xfId="0" applyFont="1" applyFill="1" applyBorder="1" applyAlignment="1">
      <alignment/>
    </xf>
    <xf numFmtId="167" fontId="19" fillId="5" borderId="11" xfId="15" applyNumberFormat="1" applyFont="1" applyFill="1" applyBorder="1" applyAlignment="1" applyProtection="1">
      <alignment/>
      <protection/>
    </xf>
    <xf numFmtId="168" fontId="19" fillId="5" borderId="12" xfId="15" applyNumberFormat="1" applyFont="1" applyFill="1" applyBorder="1" applyAlignment="1" applyProtection="1">
      <alignment/>
      <protection/>
    </xf>
    <xf numFmtId="168" fontId="0" fillId="5" borderId="0" xfId="15" applyNumberFormat="1" applyFont="1" applyFill="1" applyBorder="1" applyAlignment="1" applyProtection="1">
      <alignment/>
      <protection/>
    </xf>
    <xf numFmtId="0" fontId="7" fillId="0" borderId="14" xfId="0" applyFont="1" applyBorder="1" applyAlignment="1">
      <alignment horizontal="center" wrapText="1"/>
    </xf>
    <xf numFmtId="0" fontId="0" fillId="0" borderId="15" xfId="0"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7" fillId="0" borderId="14" xfId="0" applyFont="1" applyBorder="1" applyAlignment="1">
      <alignment horizontal="center"/>
    </xf>
    <xf numFmtId="0" fontId="24" fillId="0" borderId="18" xfId="0" applyFont="1" applyFill="1" applyBorder="1" applyAlignment="1">
      <alignment horizontal="center"/>
    </xf>
    <xf numFmtId="0" fontId="7" fillId="0" borderId="0" xfId="0" applyFont="1" applyBorder="1" applyAlignment="1">
      <alignment horizontal="center"/>
    </xf>
    <xf numFmtId="0" fontId="7" fillId="0" borderId="19" xfId="0" applyFont="1" applyBorder="1" applyAlignment="1">
      <alignment horizontal="center" wrapText="1"/>
    </xf>
    <xf numFmtId="0" fontId="0" fillId="0" borderId="20" xfId="0" applyBorder="1" applyAlignment="1">
      <alignment/>
    </xf>
    <xf numFmtId="166" fontId="0" fillId="0" borderId="20" xfId="15" applyFont="1" applyFill="1" applyBorder="1" applyAlignment="1" applyProtection="1">
      <alignment/>
      <protection/>
    </xf>
    <xf numFmtId="0" fontId="7" fillId="0" borderId="21" xfId="0" applyFont="1" applyBorder="1" applyAlignment="1">
      <alignment horizontal="center"/>
    </xf>
    <xf numFmtId="0" fontId="7" fillId="0" borderId="22" xfId="0" applyFont="1" applyBorder="1" applyAlignment="1">
      <alignment horizontal="center"/>
    </xf>
    <xf numFmtId="0" fontId="0" fillId="0" borderId="0" xfId="0" applyBorder="1" applyAlignment="1">
      <alignment/>
    </xf>
    <xf numFmtId="0" fontId="0" fillId="0" borderId="22" xfId="0" applyBorder="1" applyAlignment="1">
      <alignment/>
    </xf>
    <xf numFmtId="0" fontId="23" fillId="0" borderId="18" xfId="0" applyFont="1" applyFill="1" applyBorder="1" applyAlignment="1">
      <alignment/>
    </xf>
    <xf numFmtId="167" fontId="0" fillId="0" borderId="21" xfId="15" applyNumberFormat="1" applyFont="1" applyFill="1" applyBorder="1" applyAlignment="1" applyProtection="1">
      <alignment/>
      <protection/>
    </xf>
    <xf numFmtId="168" fontId="0" fillId="0" borderId="0" xfId="15" applyNumberFormat="1" applyFont="1" applyFill="1" applyBorder="1" applyAlignment="1" applyProtection="1">
      <alignment/>
      <protection/>
    </xf>
    <xf numFmtId="168" fontId="0" fillId="0" borderId="22" xfId="15" applyNumberFormat="1" applyFont="1" applyFill="1" applyBorder="1" applyAlignment="1" applyProtection="1">
      <alignment/>
      <protection/>
    </xf>
    <xf numFmtId="0" fontId="23" fillId="0" borderId="21" xfId="0" applyFont="1" applyBorder="1" applyAlignment="1">
      <alignment/>
    </xf>
    <xf numFmtId="0" fontId="23" fillId="0" borderId="23" xfId="0" applyFont="1" applyFill="1" applyBorder="1" applyAlignment="1">
      <alignment/>
    </xf>
    <xf numFmtId="166" fontId="7" fillId="0" borderId="24" xfId="15" applyFont="1" applyFill="1" applyBorder="1" applyAlignment="1" applyProtection="1">
      <alignment/>
      <protection/>
    </xf>
    <xf numFmtId="0" fontId="0" fillId="0" borderId="25" xfId="0" applyBorder="1" applyAlignment="1">
      <alignment/>
    </xf>
    <xf numFmtId="0" fontId="7" fillId="0" borderId="26" xfId="0" applyFont="1" applyBorder="1" applyAlignment="1">
      <alignment horizontal="center"/>
    </xf>
    <xf numFmtId="0" fontId="7" fillId="0" borderId="25" xfId="0" applyFont="1" applyBorder="1" applyAlignment="1">
      <alignment horizontal="center"/>
    </xf>
    <xf numFmtId="0" fontId="7" fillId="0" borderId="27" xfId="0" applyFont="1" applyBorder="1" applyAlignment="1">
      <alignment/>
    </xf>
    <xf numFmtId="0" fontId="23" fillId="0" borderId="24" xfId="0" applyFont="1" applyBorder="1" applyAlignment="1">
      <alignment horizontal="center" wrapText="1"/>
    </xf>
    <xf numFmtId="0" fontId="23" fillId="0" borderId="25" xfId="0" applyFont="1" applyBorder="1" applyAlignment="1">
      <alignment horizontal="center" wrapText="1"/>
    </xf>
    <xf numFmtId="0" fontId="23" fillId="0" borderId="27" xfId="0" applyFont="1" applyBorder="1" applyAlignment="1">
      <alignment horizontal="center" wrapText="1"/>
    </xf>
    <xf numFmtId="0" fontId="23" fillId="0" borderId="18" xfId="0" applyFont="1" applyFill="1" applyBorder="1" applyAlignment="1">
      <alignment horizontal="center" wrapText="1"/>
    </xf>
    <xf numFmtId="0" fontId="23" fillId="0" borderId="0" xfId="0" applyFont="1" applyBorder="1" applyAlignment="1">
      <alignment horizontal="center" wrapText="1"/>
    </xf>
    <xf numFmtId="0" fontId="0" fillId="0" borderId="24" xfId="0" applyBorder="1" applyAlignment="1">
      <alignment/>
    </xf>
    <xf numFmtId="167" fontId="0" fillId="0" borderId="26" xfId="15" applyNumberFormat="1" applyFont="1" applyFill="1" applyBorder="1" applyAlignment="1" applyProtection="1">
      <alignment/>
      <protection/>
    </xf>
    <xf numFmtId="168" fontId="0" fillId="0" borderId="25" xfId="15" applyNumberFormat="1" applyFont="1" applyFill="1" applyBorder="1" applyAlignment="1" applyProtection="1">
      <alignment/>
      <protection/>
    </xf>
    <xf numFmtId="168" fontId="0" fillId="0" borderId="27" xfId="15" applyNumberFormat="1" applyFont="1" applyFill="1" applyBorder="1" applyAlignment="1" applyProtection="1">
      <alignment/>
      <protection/>
    </xf>
    <xf numFmtId="167" fontId="0" fillId="0" borderId="20" xfId="0" applyNumberFormat="1" applyBorder="1" applyAlignment="1">
      <alignment/>
    </xf>
    <xf numFmtId="166" fontId="0" fillId="0" borderId="28" xfId="15" applyFont="1" applyFill="1" applyBorder="1" applyAlignment="1" applyProtection="1">
      <alignment/>
      <protection/>
    </xf>
    <xf numFmtId="0" fontId="0" fillId="0" borderId="29" xfId="0" applyBorder="1" applyAlignment="1">
      <alignment/>
    </xf>
    <xf numFmtId="0" fontId="7" fillId="0" borderId="30" xfId="0" applyFont="1" applyBorder="1" applyAlignment="1">
      <alignment horizontal="center"/>
    </xf>
    <xf numFmtId="0" fontId="7" fillId="0" borderId="29" xfId="0" applyFont="1" applyBorder="1" applyAlignment="1">
      <alignment horizontal="center"/>
    </xf>
    <xf numFmtId="0" fontId="7" fillId="0" borderId="31" xfId="0" applyFont="1" applyBorder="1" applyAlignment="1">
      <alignment/>
    </xf>
    <xf numFmtId="169" fontId="0" fillId="0" borderId="28" xfId="0" applyNumberFormat="1" applyBorder="1" applyAlignment="1">
      <alignment/>
    </xf>
    <xf numFmtId="169" fontId="0" fillId="0" borderId="29" xfId="0" applyNumberFormat="1" applyBorder="1" applyAlignment="1">
      <alignment/>
    </xf>
    <xf numFmtId="168" fontId="0" fillId="0" borderId="31" xfId="15" applyNumberFormat="1" applyFont="1" applyFill="1" applyBorder="1" applyAlignment="1" applyProtection="1">
      <alignment/>
      <protection/>
    </xf>
    <xf numFmtId="168" fontId="23" fillId="0" borderId="18" xfId="15" applyNumberFormat="1" applyFont="1" applyFill="1" applyBorder="1" applyAlignment="1" applyProtection="1">
      <alignment/>
      <protection/>
    </xf>
    <xf numFmtId="166" fontId="7" fillId="0" borderId="20" xfId="15" applyFont="1" applyFill="1" applyBorder="1" applyAlignment="1" applyProtection="1">
      <alignment/>
      <protection/>
    </xf>
    <xf numFmtId="0" fontId="7" fillId="0" borderId="22" xfId="0" applyFont="1" applyBorder="1" applyAlignment="1">
      <alignment/>
    </xf>
    <xf numFmtId="169" fontId="0" fillId="0" borderId="20" xfId="0" applyNumberFormat="1" applyBorder="1" applyAlignment="1">
      <alignment/>
    </xf>
    <xf numFmtId="0" fontId="0" fillId="0" borderId="21" xfId="0" applyBorder="1" applyAlignment="1">
      <alignment/>
    </xf>
    <xf numFmtId="0" fontId="0" fillId="0" borderId="32" xfId="0" applyBorder="1" applyAlignment="1">
      <alignment/>
    </xf>
    <xf numFmtId="0" fontId="23" fillId="0" borderId="1" xfId="0" applyFont="1" applyFill="1" applyBorder="1" applyAlignment="1">
      <alignment/>
    </xf>
    <xf numFmtId="0" fontId="0" fillId="0" borderId="28" xfId="0" applyBorder="1" applyAlignment="1">
      <alignment/>
    </xf>
    <xf numFmtId="167" fontId="0" fillId="0" borderId="30" xfId="15" applyNumberFormat="1" applyFont="1" applyFill="1" applyBorder="1" applyAlignment="1" applyProtection="1">
      <alignment/>
      <protection/>
    </xf>
    <xf numFmtId="168" fontId="0" fillId="0" borderId="29" xfId="15" applyNumberFormat="1" applyFont="1" applyFill="1" applyBorder="1" applyAlignment="1" applyProtection="1">
      <alignment/>
      <protection/>
    </xf>
    <xf numFmtId="166" fontId="7" fillId="0" borderId="24" xfId="15" applyFont="1" applyFill="1" applyBorder="1" applyAlignment="1" applyProtection="1">
      <alignment wrapText="1"/>
      <protection/>
    </xf>
    <xf numFmtId="0" fontId="23" fillId="0" borderId="26" xfId="0" applyFont="1" applyBorder="1" applyAlignment="1">
      <alignment horizontal="center" wrapText="1"/>
    </xf>
    <xf numFmtId="0" fontId="23" fillId="0" borderId="22" xfId="0" applyFont="1" applyBorder="1" applyAlignment="1">
      <alignment horizontal="center" wrapText="1"/>
    </xf>
    <xf numFmtId="0" fontId="7" fillId="0" borderId="24" xfId="0" applyFont="1" applyBorder="1" applyAlignment="1">
      <alignment wrapText="1"/>
    </xf>
    <xf numFmtId="0" fontId="0" fillId="0" borderId="25" xfId="0" applyFont="1" applyBorder="1" applyAlignment="1">
      <alignment wrapText="1"/>
    </xf>
    <xf numFmtId="167" fontId="23" fillId="0" borderId="26" xfId="15" applyNumberFormat="1" applyFont="1" applyFill="1" applyBorder="1" applyAlignment="1" applyProtection="1">
      <alignment horizontal="center" wrapText="1"/>
      <protection/>
    </xf>
    <xf numFmtId="168" fontId="23" fillId="0" borderId="25" xfId="15" applyNumberFormat="1" applyFont="1" applyFill="1" applyBorder="1" applyAlignment="1" applyProtection="1">
      <alignment horizontal="center" wrapText="1"/>
      <protection/>
    </xf>
    <xf numFmtId="168" fontId="23" fillId="0" borderId="27" xfId="15" applyNumberFormat="1" applyFont="1" applyFill="1" applyBorder="1" applyAlignment="1" applyProtection="1">
      <alignment horizontal="center" wrapText="1"/>
      <protection/>
    </xf>
    <xf numFmtId="167" fontId="0" fillId="0" borderId="20" xfId="0" applyNumberFormat="1" applyBorder="1" applyAlignment="1">
      <alignment wrapText="1"/>
    </xf>
    <xf numFmtId="3" fontId="0" fillId="0" borderId="21" xfId="0" applyNumberFormat="1" applyBorder="1" applyAlignment="1">
      <alignment/>
    </xf>
    <xf numFmtId="0" fontId="0" fillId="0" borderId="0" xfId="0" applyFont="1" applyBorder="1" applyAlignment="1">
      <alignment horizontal="center"/>
    </xf>
    <xf numFmtId="3" fontId="0" fillId="0" borderId="22" xfId="0" applyNumberFormat="1" applyFont="1" applyBorder="1" applyAlignment="1">
      <alignment horizontal="center"/>
    </xf>
    <xf numFmtId="169" fontId="0" fillId="0" borderId="0" xfId="0" applyNumberFormat="1" applyBorder="1" applyAlignment="1">
      <alignment/>
    </xf>
    <xf numFmtId="170" fontId="23" fillId="0" borderId="18" xfId="15" applyNumberFormat="1" applyFont="1" applyFill="1" applyBorder="1" applyAlignment="1" applyProtection="1">
      <alignment/>
      <protection/>
    </xf>
    <xf numFmtId="1" fontId="0" fillId="0" borderId="0" xfId="0" applyNumberFormat="1" applyBorder="1" applyAlignment="1">
      <alignment/>
    </xf>
    <xf numFmtId="168" fontId="0" fillId="0" borderId="0" xfId="15" applyNumberFormat="1" applyFont="1" applyFill="1" applyBorder="1" applyAlignment="1" applyProtection="1">
      <alignment wrapText="1"/>
      <protection/>
    </xf>
    <xf numFmtId="168" fontId="0" fillId="0" borderId="0" xfId="15" applyNumberFormat="1" applyFont="1" applyFill="1" applyBorder="1" applyAlignment="1" applyProtection="1">
      <alignment horizontal="right" wrapText="1"/>
      <protection/>
    </xf>
    <xf numFmtId="168" fontId="0" fillId="0" borderId="22" xfId="15" applyNumberFormat="1" applyFont="1" applyFill="1" applyBorder="1" applyAlignment="1" applyProtection="1">
      <alignment horizontal="center" wrapText="1"/>
      <protection/>
    </xf>
    <xf numFmtId="0" fontId="0" fillId="0" borderId="22" xfId="0" applyBorder="1" applyAlignment="1">
      <alignment horizontal="center"/>
    </xf>
    <xf numFmtId="168" fontId="0" fillId="0" borderId="0" xfId="0" applyNumberFormat="1" applyBorder="1" applyAlignment="1">
      <alignment/>
    </xf>
    <xf numFmtId="1" fontId="0" fillId="0" borderId="3" xfId="0" applyNumberFormat="1" applyBorder="1" applyAlignment="1">
      <alignment/>
    </xf>
    <xf numFmtId="168" fontId="0" fillId="0" borderId="29" xfId="0" applyNumberFormat="1" applyBorder="1" applyAlignment="1">
      <alignment/>
    </xf>
    <xf numFmtId="0" fontId="7" fillId="0" borderId="28" xfId="0" applyFont="1" applyBorder="1" applyAlignment="1">
      <alignment horizontal="center" wrapText="1"/>
    </xf>
    <xf numFmtId="0" fontId="7" fillId="0" borderId="29" xfId="0" applyFont="1" applyBorder="1" applyAlignment="1">
      <alignment horizontal="center" wrapText="1"/>
    </xf>
    <xf numFmtId="168" fontId="23" fillId="0" borderId="25" xfId="0" applyNumberFormat="1" applyFont="1" applyBorder="1" applyAlignment="1">
      <alignment horizontal="center" wrapText="1"/>
    </xf>
    <xf numFmtId="0" fontId="23" fillId="0" borderId="27" xfId="0" applyFont="1" applyBorder="1" applyAlignment="1">
      <alignment horizontal="center"/>
    </xf>
    <xf numFmtId="0" fontId="23" fillId="0" borderId="13" xfId="0" applyFont="1" applyFill="1" applyBorder="1" applyAlignment="1">
      <alignment horizontal="center" wrapText="1"/>
    </xf>
    <xf numFmtId="0" fontId="7" fillId="0" borderId="20" xfId="0" applyFont="1" applyBorder="1" applyAlignment="1">
      <alignment/>
    </xf>
    <xf numFmtId="167" fontId="23" fillId="0" borderId="21" xfId="15" applyNumberFormat="1" applyFont="1" applyFill="1" applyBorder="1" applyAlignment="1" applyProtection="1">
      <alignment horizontal="center" wrapText="1"/>
      <protection/>
    </xf>
    <xf numFmtId="168" fontId="23" fillId="0" borderId="0" xfId="15" applyNumberFormat="1" applyFont="1" applyFill="1" applyBorder="1" applyAlignment="1" applyProtection="1">
      <alignment horizontal="center" wrapText="1"/>
      <protection/>
    </xf>
    <xf numFmtId="168" fontId="23" fillId="0" borderId="22" xfId="15" applyNumberFormat="1" applyFont="1" applyFill="1" applyBorder="1" applyAlignment="1" applyProtection="1">
      <alignment horizontal="center" wrapText="1"/>
      <protection/>
    </xf>
    <xf numFmtId="3" fontId="0" fillId="0" borderId="0" xfId="0" applyNumberFormat="1" applyBorder="1" applyAlignment="1">
      <alignment/>
    </xf>
    <xf numFmtId="166" fontId="0" fillId="0" borderId="22" xfId="15" applyFont="1" applyFill="1" applyBorder="1" applyAlignment="1" applyProtection="1">
      <alignment/>
      <protection/>
    </xf>
    <xf numFmtId="166" fontId="23" fillId="0" borderId="18" xfId="15" applyFont="1" applyFill="1" applyBorder="1" applyAlignment="1" applyProtection="1">
      <alignment/>
      <protection/>
    </xf>
    <xf numFmtId="166" fontId="0" fillId="0" borderId="0" xfId="15" applyFont="1" applyFill="1" applyBorder="1" applyAlignment="1" applyProtection="1">
      <alignment/>
      <protection/>
    </xf>
    <xf numFmtId="0" fontId="0" fillId="0" borderId="20" xfId="0" applyFont="1" applyBorder="1" applyAlignment="1">
      <alignment/>
    </xf>
    <xf numFmtId="171" fontId="0" fillId="0" borderId="0" xfId="0" applyNumberFormat="1" applyBorder="1" applyAlignment="1">
      <alignment/>
    </xf>
    <xf numFmtId="170" fontId="0" fillId="0" borderId="0" xfId="15" applyNumberFormat="1" applyFont="1" applyFill="1" applyBorder="1" applyAlignment="1" applyProtection="1">
      <alignment wrapText="1"/>
      <protection/>
    </xf>
    <xf numFmtId="166" fontId="23" fillId="0" borderId="20" xfId="15" applyFont="1" applyFill="1" applyBorder="1" applyAlignment="1" applyProtection="1">
      <alignment/>
      <protection/>
    </xf>
    <xf numFmtId="0" fontId="23" fillId="0" borderId="20" xfId="0" applyFont="1" applyBorder="1" applyAlignment="1">
      <alignment horizontal="center" wrapText="1"/>
    </xf>
    <xf numFmtId="169" fontId="23" fillId="0" borderId="20" xfId="0" applyNumberFormat="1" applyFont="1" applyBorder="1" applyAlignment="1">
      <alignment/>
    </xf>
    <xf numFmtId="170" fontId="23" fillId="0" borderId="0" xfId="0" applyNumberFormat="1" applyFont="1" applyBorder="1" applyAlignment="1">
      <alignment/>
    </xf>
    <xf numFmtId="168" fontId="23" fillId="0" borderId="22" xfId="15" applyNumberFormat="1" applyFont="1" applyFill="1" applyBorder="1" applyAlignment="1" applyProtection="1">
      <alignment/>
      <protection/>
    </xf>
    <xf numFmtId="3" fontId="0" fillId="0" borderId="0" xfId="0" applyNumberFormat="1" applyFont="1" applyBorder="1" applyAlignment="1">
      <alignment horizontal="center"/>
    </xf>
    <xf numFmtId="0" fontId="0" fillId="0" borderId="31" xfId="0" applyBorder="1" applyAlignment="1">
      <alignment/>
    </xf>
    <xf numFmtId="0" fontId="23" fillId="0" borderId="33" xfId="0" applyFont="1" applyFill="1" applyBorder="1" applyAlignment="1">
      <alignment/>
    </xf>
    <xf numFmtId="170" fontId="0" fillId="0" borderId="0" xfId="15" applyNumberFormat="1" applyFont="1" applyFill="1" applyBorder="1" applyAlignment="1" applyProtection="1">
      <alignment/>
      <protection/>
    </xf>
    <xf numFmtId="0" fontId="23" fillId="0" borderId="25" xfId="0" applyFont="1" applyBorder="1" applyAlignment="1">
      <alignment horizontal="center"/>
    </xf>
    <xf numFmtId="0" fontId="23" fillId="0" borderId="25" xfId="0" applyFont="1" applyBorder="1" applyAlignment="1">
      <alignment wrapText="1"/>
    </xf>
    <xf numFmtId="170" fontId="23" fillId="0" borderId="25" xfId="15" applyNumberFormat="1" applyFont="1" applyFill="1" applyBorder="1" applyAlignment="1" applyProtection="1">
      <alignment horizontal="center" wrapText="1"/>
      <protection/>
    </xf>
    <xf numFmtId="0" fontId="0" fillId="0" borderId="21" xfId="0" applyFont="1" applyBorder="1" applyAlignment="1">
      <alignment horizontal="center"/>
    </xf>
    <xf numFmtId="170" fontId="0" fillId="0" borderId="22" xfId="15" applyNumberFormat="1" applyFont="1" applyFill="1" applyBorder="1" applyAlignment="1" applyProtection="1">
      <alignment/>
      <protection/>
    </xf>
    <xf numFmtId="0" fontId="0" fillId="0" borderId="0" xfId="0" applyFont="1" applyBorder="1" applyAlignment="1">
      <alignment horizontal="right"/>
    </xf>
    <xf numFmtId="0" fontId="0" fillId="0" borderId="22" xfId="0" applyFont="1" applyBorder="1" applyAlignment="1">
      <alignment horizontal="right"/>
    </xf>
    <xf numFmtId="170" fontId="23" fillId="0" borderId="18" xfId="0" applyNumberFormat="1" applyFont="1" applyFill="1" applyBorder="1" applyAlignment="1">
      <alignment/>
    </xf>
    <xf numFmtId="170" fontId="0" fillId="0" borderId="20" xfId="0" applyNumberFormat="1" applyBorder="1" applyAlignment="1">
      <alignment/>
    </xf>
    <xf numFmtId="168" fontId="0" fillId="0" borderId="22" xfId="15" applyNumberFormat="1" applyFont="1" applyFill="1" applyBorder="1" applyAlignment="1" applyProtection="1">
      <alignment wrapText="1"/>
      <protection/>
    </xf>
    <xf numFmtId="166" fontId="0" fillId="0" borderId="34" xfId="15" applyFont="1" applyFill="1" applyBorder="1" applyAlignment="1" applyProtection="1">
      <alignment/>
      <protection/>
    </xf>
    <xf numFmtId="0" fontId="0" fillId="0" borderId="35" xfId="0" applyBorder="1" applyAlignment="1">
      <alignment/>
    </xf>
    <xf numFmtId="3" fontId="0" fillId="0" borderId="36" xfId="0" applyNumberFormat="1" applyBorder="1" applyAlignment="1">
      <alignment/>
    </xf>
    <xf numFmtId="0" fontId="0" fillId="0" borderId="35" xfId="0" applyBorder="1" applyAlignment="1">
      <alignment horizontal="center"/>
    </xf>
    <xf numFmtId="0" fontId="0" fillId="0" borderId="37" xfId="0" applyBorder="1" applyAlignment="1">
      <alignment horizontal="center"/>
    </xf>
    <xf numFmtId="0" fontId="0" fillId="0" borderId="34" xfId="0" applyBorder="1" applyAlignment="1">
      <alignment/>
    </xf>
    <xf numFmtId="0" fontId="0" fillId="0" borderId="35" xfId="0" applyBorder="1" applyAlignment="1">
      <alignment/>
    </xf>
    <xf numFmtId="166" fontId="0" fillId="0" borderId="37" xfId="15" applyFont="1" applyFill="1" applyBorder="1" applyAlignment="1" applyProtection="1">
      <alignment/>
      <protection/>
    </xf>
    <xf numFmtId="166" fontId="23" fillId="0" borderId="33" xfId="15" applyFont="1" applyFill="1" applyBorder="1" applyAlignment="1" applyProtection="1">
      <alignment/>
      <protection/>
    </xf>
    <xf numFmtId="167" fontId="0" fillId="0" borderId="36" xfId="15" applyNumberFormat="1" applyFont="1" applyFill="1" applyBorder="1" applyAlignment="1" applyProtection="1">
      <alignment/>
      <protection/>
    </xf>
    <xf numFmtId="168" fontId="0" fillId="0" borderId="35" xfId="15" applyNumberFormat="1" applyFont="1" applyFill="1" applyBorder="1" applyAlignment="1" applyProtection="1">
      <alignment/>
      <protection/>
    </xf>
    <xf numFmtId="168" fontId="0" fillId="0" borderId="37" xfId="15" applyNumberFormat="1" applyFont="1" applyFill="1" applyBorder="1" applyAlignment="1" applyProtection="1">
      <alignment/>
      <protection/>
    </xf>
    <xf numFmtId="0" fontId="0" fillId="0" borderId="0" xfId="0" applyFill="1" applyBorder="1" applyAlignment="1">
      <alignment/>
    </xf>
    <xf numFmtId="167" fontId="0" fillId="0" borderId="0" xfId="15" applyNumberFormat="1" applyFont="1" applyFill="1" applyBorder="1" applyAlignment="1" applyProtection="1">
      <alignment/>
      <protection/>
    </xf>
    <xf numFmtId="166" fontId="0" fillId="0" borderId="26" xfId="15" applyFont="1" applyFill="1" applyBorder="1" applyAlignment="1" applyProtection="1">
      <alignment horizontal="right"/>
      <protection/>
    </xf>
    <xf numFmtId="0" fontId="23" fillId="0" borderId="25" xfId="0" applyFont="1" applyBorder="1" applyAlignment="1">
      <alignment/>
    </xf>
    <xf numFmtId="0" fontId="23" fillId="0" borderId="38" xfId="0" applyFont="1" applyBorder="1" applyAlignment="1">
      <alignment/>
    </xf>
    <xf numFmtId="0" fontId="23" fillId="0" borderId="0" xfId="0" applyFont="1" applyBorder="1" applyAlignment="1">
      <alignment/>
    </xf>
    <xf numFmtId="170" fontId="0" fillId="0" borderId="26" xfId="15" applyNumberFormat="1" applyFont="1" applyFill="1" applyBorder="1" applyAlignment="1" applyProtection="1">
      <alignment/>
      <protection/>
    </xf>
    <xf numFmtId="170" fontId="0" fillId="0" borderId="25" xfId="15" applyNumberFormat="1" applyFont="1" applyFill="1" applyBorder="1" applyAlignment="1" applyProtection="1">
      <alignment wrapText="1"/>
      <protection/>
    </xf>
    <xf numFmtId="167" fontId="0" fillId="0" borderId="38" xfId="15" applyNumberFormat="1" applyFont="1" applyFill="1" applyBorder="1" applyAlignment="1" applyProtection="1">
      <alignment/>
      <protection/>
    </xf>
    <xf numFmtId="166" fontId="0" fillId="0" borderId="21" xfId="15" applyFont="1" applyFill="1" applyBorder="1" applyAlignment="1" applyProtection="1">
      <alignment/>
      <protection/>
    </xf>
    <xf numFmtId="0" fontId="0" fillId="0" borderId="3" xfId="0" applyBorder="1" applyAlignment="1">
      <alignment/>
    </xf>
    <xf numFmtId="170" fontId="0" fillId="0" borderId="21" xfId="15" applyNumberFormat="1" applyFont="1" applyFill="1" applyBorder="1" applyAlignment="1" applyProtection="1">
      <alignment/>
      <protection/>
    </xf>
    <xf numFmtId="167" fontId="0" fillId="0" borderId="3" xfId="15" applyNumberFormat="1" applyFont="1" applyFill="1" applyBorder="1" applyAlignment="1" applyProtection="1">
      <alignment/>
      <protection/>
    </xf>
    <xf numFmtId="11" fontId="0" fillId="0" borderId="0" xfId="0" applyNumberFormat="1" applyBorder="1" applyAlignment="1">
      <alignment/>
    </xf>
    <xf numFmtId="11" fontId="0" fillId="0" borderId="3" xfId="0" applyNumberFormat="1" applyBorder="1" applyAlignment="1">
      <alignment/>
    </xf>
    <xf numFmtId="170" fontId="0" fillId="0" borderId="30" xfId="15" applyNumberFormat="1" applyFont="1" applyFill="1" applyBorder="1" applyAlignment="1" applyProtection="1">
      <alignment/>
      <protection/>
    </xf>
    <xf numFmtId="170" fontId="0" fillId="0" borderId="29" xfId="15" applyNumberFormat="1" applyFont="1" applyFill="1" applyBorder="1" applyAlignment="1" applyProtection="1">
      <alignment/>
      <protection/>
    </xf>
    <xf numFmtId="167" fontId="0" fillId="0" borderId="39" xfId="15" applyNumberFormat="1" applyFont="1" applyFill="1" applyBorder="1" applyAlignment="1" applyProtection="1">
      <alignment/>
      <protection/>
    </xf>
    <xf numFmtId="172" fontId="0" fillId="0" borderId="0" xfId="0" applyNumberFormat="1" applyBorder="1" applyAlignment="1">
      <alignment/>
    </xf>
    <xf numFmtId="0" fontId="0" fillId="0" borderId="26" xfId="0" applyFont="1" applyFill="1" applyBorder="1" applyAlignment="1">
      <alignment/>
    </xf>
    <xf numFmtId="0" fontId="0" fillId="0" borderId="30" xfId="0" applyFont="1" applyBorder="1" applyAlignment="1">
      <alignment/>
    </xf>
    <xf numFmtId="166" fontId="0" fillId="0" borderId="30" xfId="15" applyFont="1" applyFill="1" applyBorder="1" applyAlignment="1" applyProtection="1">
      <alignment/>
      <protection/>
    </xf>
    <xf numFmtId="11" fontId="0" fillId="0" borderId="29" xfId="0" applyNumberFormat="1" applyBorder="1" applyAlignment="1">
      <alignment/>
    </xf>
    <xf numFmtId="172" fontId="0" fillId="0" borderId="29" xfId="0" applyNumberFormat="1" applyBorder="1" applyAlignment="1">
      <alignment/>
    </xf>
    <xf numFmtId="0" fontId="0" fillId="0" borderId="39" xfId="0" applyBorder="1" applyAlignment="1">
      <alignment/>
    </xf>
    <xf numFmtId="168" fontId="0" fillId="0" borderId="26" xfId="15" applyNumberFormat="1" applyFont="1" applyFill="1" applyBorder="1" applyAlignment="1" applyProtection="1">
      <alignment/>
      <protection/>
    </xf>
    <xf numFmtId="170" fontId="0" fillId="0" borderId="25" xfId="15" applyNumberFormat="1" applyFont="1" applyFill="1" applyBorder="1" applyAlignment="1" applyProtection="1">
      <alignment/>
      <protection/>
    </xf>
    <xf numFmtId="168" fontId="0" fillId="0" borderId="38" xfId="15" applyNumberFormat="1" applyFont="1" applyFill="1" applyBorder="1" applyAlignment="1" applyProtection="1">
      <alignment/>
      <protection/>
    </xf>
    <xf numFmtId="168" fontId="0" fillId="0" borderId="21" xfId="15" applyNumberFormat="1" applyFont="1" applyFill="1" applyBorder="1" applyAlignment="1" applyProtection="1">
      <alignment/>
      <protection/>
    </xf>
    <xf numFmtId="168" fontId="0" fillId="0" borderId="3" xfId="15" applyNumberFormat="1" applyFont="1" applyFill="1" applyBorder="1" applyAlignment="1" applyProtection="1">
      <alignment/>
      <protection/>
    </xf>
    <xf numFmtId="168" fontId="0" fillId="0" borderId="30" xfId="15" applyNumberFormat="1" applyFont="1" applyFill="1" applyBorder="1" applyAlignment="1" applyProtection="1">
      <alignment/>
      <protection/>
    </xf>
    <xf numFmtId="168" fontId="0" fillId="0" borderId="39" xfId="15" applyNumberFormat="1" applyFont="1" applyFill="1" applyBorder="1" applyAlignment="1" applyProtection="1">
      <alignment/>
      <protection/>
    </xf>
    <xf numFmtId="173" fontId="0" fillId="0" borderId="0" xfId="15" applyNumberFormat="1" applyFont="1" applyFill="1" applyBorder="1" applyAlignment="1" applyProtection="1">
      <alignment/>
      <protection/>
    </xf>
    <xf numFmtId="0" fontId="0" fillId="0" borderId="2" xfId="0" applyFont="1" applyBorder="1" applyAlignment="1">
      <alignment/>
    </xf>
    <xf numFmtId="0" fontId="0" fillId="0" borderId="40" xfId="0" applyBorder="1" applyAlignment="1">
      <alignment/>
    </xf>
    <xf numFmtId="0" fontId="0" fillId="0" borderId="41" xfId="0" applyFont="1" applyBorder="1" applyAlignment="1">
      <alignment/>
    </xf>
    <xf numFmtId="0" fontId="0" fillId="0" borderId="26" xfId="0" applyFont="1" applyBorder="1" applyAlignment="1">
      <alignment/>
    </xf>
    <xf numFmtId="173" fontId="0" fillId="0" borderId="25" xfId="15" applyNumberFormat="1" applyFont="1" applyFill="1" applyBorder="1" applyAlignment="1" applyProtection="1">
      <alignment/>
      <protection/>
    </xf>
    <xf numFmtId="0" fontId="0" fillId="0" borderId="38" xfId="0" applyFont="1" applyBorder="1" applyAlignment="1">
      <alignment/>
    </xf>
    <xf numFmtId="0" fontId="0" fillId="0" borderId="3" xfId="0" applyFont="1" applyBorder="1" applyAlignment="1">
      <alignment/>
    </xf>
    <xf numFmtId="173" fontId="0" fillId="0" borderId="29" xfId="15" applyNumberFormat="1" applyFont="1" applyFill="1" applyBorder="1" applyAlignment="1" applyProtection="1">
      <alignment/>
      <protection/>
    </xf>
    <xf numFmtId="0" fontId="0" fillId="0" borderId="39" xfId="0" applyFont="1" applyBorder="1" applyAlignment="1">
      <alignment/>
    </xf>
    <xf numFmtId="0" fontId="23" fillId="0" borderId="0" xfId="0" applyFont="1" applyAlignment="1">
      <alignment/>
    </xf>
    <xf numFmtId="0" fontId="0" fillId="6" borderId="0" xfId="0" applyFill="1" applyAlignment="1">
      <alignment/>
    </xf>
    <xf numFmtId="0" fontId="24" fillId="0" borderId="42" xfId="0" applyFont="1" applyBorder="1" applyAlignment="1">
      <alignment/>
    </xf>
    <xf numFmtId="0" fontId="0" fillId="0" borderId="42" xfId="0" applyBorder="1" applyAlignment="1">
      <alignment/>
    </xf>
    <xf numFmtId="0" fontId="0" fillId="0" borderId="42" xfId="0" applyBorder="1" applyAlignment="1">
      <alignment horizontal="center"/>
    </xf>
    <xf numFmtId="0" fontId="24" fillId="6" borderId="42" xfId="0" applyFont="1" applyFill="1" applyBorder="1" applyAlignment="1">
      <alignment/>
    </xf>
    <xf numFmtId="0" fontId="24" fillId="0" borderId="0" xfId="0" applyFont="1" applyAlignment="1">
      <alignment/>
    </xf>
    <xf numFmtId="0" fontId="23" fillId="0" borderId="2" xfId="0" applyFont="1" applyBorder="1" applyAlignment="1">
      <alignment wrapText="1"/>
    </xf>
    <xf numFmtId="0" fontId="23" fillId="0" borderId="40" xfId="0" applyFont="1" applyBorder="1" applyAlignment="1">
      <alignment wrapText="1"/>
    </xf>
    <xf numFmtId="0" fontId="23" fillId="0" borderId="40" xfId="0" applyFont="1" applyBorder="1" applyAlignment="1">
      <alignment horizontal="center" wrapText="1"/>
    </xf>
    <xf numFmtId="0" fontId="23" fillId="0" borderId="41" xfId="0" applyFont="1" applyBorder="1" applyAlignment="1">
      <alignment wrapText="1"/>
    </xf>
    <xf numFmtId="0" fontId="0" fillId="0" borderId="21" xfId="0" applyFont="1" applyBorder="1" applyAlignment="1">
      <alignment/>
    </xf>
    <xf numFmtId="0" fontId="0" fillId="7" borderId="0" xfId="0" applyFill="1" applyAlignment="1">
      <alignment/>
    </xf>
    <xf numFmtId="0" fontId="23" fillId="6" borderId="3" xfId="0" applyFont="1" applyFill="1" applyBorder="1" applyAlignment="1">
      <alignment horizontal="center"/>
    </xf>
    <xf numFmtId="0" fontId="0" fillId="0" borderId="26" xfId="0" applyFont="1" applyBorder="1" applyAlignment="1">
      <alignment/>
    </xf>
    <xf numFmtId="0" fontId="0" fillId="7" borderId="25" xfId="0" applyFill="1" applyBorder="1" applyAlignment="1">
      <alignment/>
    </xf>
    <xf numFmtId="0" fontId="0" fillId="0" borderId="25" xfId="0" applyFont="1" applyBorder="1" applyAlignment="1">
      <alignment/>
    </xf>
    <xf numFmtId="0" fontId="0" fillId="0" borderId="25" xfId="0" applyFont="1" applyBorder="1" applyAlignment="1">
      <alignment horizontal="center"/>
    </xf>
    <xf numFmtId="0" fontId="23" fillId="6" borderId="38" xfId="0" applyFont="1" applyFill="1" applyBorder="1" applyAlignment="1">
      <alignment horizontal="center"/>
    </xf>
    <xf numFmtId="0" fontId="0" fillId="0" borderId="30" xfId="0" applyBorder="1" applyAlignment="1">
      <alignment/>
    </xf>
    <xf numFmtId="0" fontId="0" fillId="7" borderId="29" xfId="0" applyFill="1" applyBorder="1" applyAlignment="1">
      <alignment/>
    </xf>
    <xf numFmtId="0" fontId="0" fillId="0" borderId="29" xfId="0" applyFont="1" applyBorder="1" applyAlignment="1">
      <alignment/>
    </xf>
    <xf numFmtId="0" fontId="0" fillId="0" borderId="29" xfId="0" applyFont="1" applyBorder="1" applyAlignment="1">
      <alignment horizontal="center"/>
    </xf>
    <xf numFmtId="0" fontId="23" fillId="6" borderId="39" xfId="0" applyFont="1" applyFill="1" applyBorder="1" applyAlignment="1">
      <alignment horizontal="center"/>
    </xf>
    <xf numFmtId="2" fontId="0" fillId="0" borderId="29" xfId="0" applyNumberFormat="1" applyBorder="1" applyAlignment="1">
      <alignment/>
    </xf>
    <xf numFmtId="0" fontId="7" fillId="0" borderId="2" xfId="0" applyFont="1" applyBorder="1" applyAlignment="1">
      <alignment/>
    </xf>
    <xf numFmtId="0" fontId="0" fillId="0" borderId="40" xfId="0" applyBorder="1" applyAlignment="1">
      <alignment/>
    </xf>
    <xf numFmtId="0" fontId="0" fillId="0" borderId="40" xfId="0" applyBorder="1" applyAlignment="1">
      <alignment horizontal="center"/>
    </xf>
    <xf numFmtId="0" fontId="24" fillId="6" borderId="41" xfId="0" applyFont="1" applyFill="1" applyBorder="1" applyAlignment="1">
      <alignment horizontal="center"/>
    </xf>
    <xf numFmtId="0" fontId="23" fillId="0" borderId="2" xfId="0" applyFont="1" applyBorder="1" applyAlignment="1">
      <alignment/>
    </xf>
    <xf numFmtId="0" fontId="23" fillId="0" borderId="40" xfId="0" applyFont="1" applyBorder="1" applyAlignment="1">
      <alignment/>
    </xf>
    <xf numFmtId="0" fontId="23" fillId="0" borderId="40" xfId="0" applyFont="1" applyBorder="1" applyAlignment="1">
      <alignment horizontal="center"/>
    </xf>
    <xf numFmtId="0" fontId="23" fillId="0" borderId="41" xfId="0" applyFont="1" applyBorder="1" applyAlignment="1">
      <alignment/>
    </xf>
    <xf numFmtId="0" fontId="23" fillId="0" borderId="26" xfId="0" applyFont="1" applyBorder="1" applyAlignment="1">
      <alignment/>
    </xf>
    <xf numFmtId="0" fontId="23" fillId="0" borderId="25" xfId="0" applyFont="1" applyBorder="1" applyAlignment="1">
      <alignment/>
    </xf>
    <xf numFmtId="0" fontId="23" fillId="0" borderId="38" xfId="0" applyFont="1" applyBorder="1" applyAlignment="1">
      <alignment/>
    </xf>
    <xf numFmtId="0" fontId="24" fillId="0" borderId="0" xfId="0" applyFont="1" applyAlignment="1">
      <alignment horizontal="center"/>
    </xf>
    <xf numFmtId="0" fontId="23" fillId="0" borderId="0" xfId="0" applyFont="1" applyAlignment="1">
      <alignment horizontal="center"/>
    </xf>
    <xf numFmtId="9" fontId="0" fillId="0" borderId="25" xfId="0" applyNumberFormat="1" applyBorder="1" applyAlignment="1">
      <alignment/>
    </xf>
    <xf numFmtId="9" fontId="0" fillId="0" borderId="0" xfId="0" applyNumberFormat="1" applyAlignment="1">
      <alignment/>
    </xf>
    <xf numFmtId="9" fontId="0" fillId="0" borderId="29" xfId="0" applyNumberFormat="1" applyBorder="1" applyAlignment="1">
      <alignment/>
    </xf>
    <xf numFmtId="0" fontId="0" fillId="0" borderId="2" xfId="0" applyFont="1" applyBorder="1" applyAlignment="1">
      <alignment/>
    </xf>
    <xf numFmtId="0" fontId="0" fillId="0" borderId="41" xfId="0" applyFont="1" applyBorder="1" applyAlignment="1">
      <alignment/>
    </xf>
    <xf numFmtId="0" fontId="23" fillId="0" borderId="30" xfId="0" applyFont="1" applyBorder="1" applyAlignment="1">
      <alignment/>
    </xf>
    <xf numFmtId="0" fontId="23" fillId="0" borderId="29" xfId="0" applyFont="1" applyBorder="1" applyAlignment="1">
      <alignment/>
    </xf>
    <xf numFmtId="0" fontId="23" fillId="0" borderId="30" xfId="0" applyFont="1" applyBorder="1" applyAlignment="1">
      <alignment horizontal="center"/>
    </xf>
    <xf numFmtId="0" fontId="23" fillId="0" borderId="29" xfId="0" applyFont="1" applyBorder="1" applyAlignment="1">
      <alignment horizontal="center"/>
    </xf>
    <xf numFmtId="0" fontId="23" fillId="0" borderId="39" xfId="0" applyFont="1" applyBorder="1" applyAlignment="1">
      <alignment horizontal="center"/>
    </xf>
    <xf numFmtId="0" fontId="0" fillId="0" borderId="39" xfId="0" applyBorder="1" applyAlignment="1">
      <alignment horizontal="center"/>
    </xf>
    <xf numFmtId="3" fontId="0" fillId="0" borderId="0" xfId="0" applyNumberFormat="1" applyAlignment="1">
      <alignment horizontal="center"/>
    </xf>
    <xf numFmtId="3" fontId="0" fillId="0" borderId="29" xfId="0" applyNumberFormat="1" applyBorder="1" applyAlignment="1">
      <alignment horizontal="center"/>
    </xf>
    <xf numFmtId="0" fontId="4" fillId="0" borderId="0" xfId="0" applyFont="1" applyBorder="1" applyAlignment="1">
      <alignment/>
    </xf>
    <xf numFmtId="0" fontId="9" fillId="2" borderId="0" xfId="0" applyFont="1" applyFill="1" applyBorder="1" applyAlignment="1">
      <alignment vertical="center" wrapText="1"/>
    </xf>
    <xf numFmtId="0" fontId="9" fillId="2" borderId="0" xfId="0" applyFont="1" applyFill="1" applyBorder="1" applyAlignment="1">
      <alignment/>
    </xf>
    <xf numFmtId="0" fontId="0" fillId="0" borderId="0" xfId="0" applyFont="1" applyBorder="1" applyAlignment="1">
      <alignment/>
    </xf>
    <xf numFmtId="3" fontId="9" fillId="2" borderId="0" xfId="0" applyNumberFormat="1" applyFont="1" applyFill="1" applyBorder="1" applyAlignment="1">
      <alignment horizontal="right"/>
    </xf>
    <xf numFmtId="0" fontId="6" fillId="0" borderId="0" xfId="0" applyFont="1" applyBorder="1" applyAlignment="1">
      <alignment wrapText="1"/>
    </xf>
    <xf numFmtId="0" fontId="0" fillId="0" borderId="0" xfId="0" applyFont="1" applyBorder="1" applyAlignment="1">
      <alignment/>
    </xf>
    <xf numFmtId="0" fontId="9" fillId="2" borderId="0" xfId="0" applyFont="1" applyFill="1" applyBorder="1" applyAlignment="1">
      <alignment/>
    </xf>
    <xf numFmtId="164" fontId="9" fillId="2" borderId="0" xfId="0" applyNumberFormat="1" applyFont="1" applyFill="1" applyBorder="1" applyAlignment="1">
      <alignment horizontal="center" wrapText="1"/>
    </xf>
    <xf numFmtId="164" fontId="9" fillId="2" borderId="0" xfId="0" applyNumberFormat="1" applyFont="1" applyFill="1" applyBorder="1" applyAlignment="1">
      <alignment/>
    </xf>
    <xf numFmtId="1" fontId="9" fillId="2" borderId="0" xfId="0" applyNumberFormat="1" applyFont="1" applyFill="1" applyBorder="1" applyAlignment="1">
      <alignment horizontal="left"/>
    </xf>
    <xf numFmtId="0" fontId="17" fillId="0" borderId="0" xfId="0" applyFont="1" applyBorder="1" applyAlignment="1">
      <alignment wrapText="1"/>
    </xf>
    <xf numFmtId="0" fontId="7" fillId="0" borderId="0" xfId="0" applyFont="1" applyBorder="1" applyAlignment="1">
      <alignment/>
    </xf>
    <xf numFmtId="0" fontId="23" fillId="0" borderId="0" xfId="0" applyFont="1" applyBorder="1" applyAlignment="1">
      <alignment/>
    </xf>
    <xf numFmtId="167" fontId="7" fillId="0" borderId="43" xfId="15" applyNumberFormat="1" applyFont="1" applyFill="1" applyBorder="1" applyAlignment="1" applyProtection="1">
      <alignment horizontal="center"/>
      <protection/>
    </xf>
    <xf numFmtId="0" fontId="25"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0" fontId="7" fillId="6" borderId="0" xfId="0" applyFont="1" applyFill="1" applyBorder="1" applyAlignment="1">
      <alignment horizontal="center"/>
    </xf>
    <xf numFmtId="0" fontId="7" fillId="0" borderId="29" xfId="0" applyFont="1" applyBorder="1" applyAlignment="1">
      <alignment/>
    </xf>
    <xf numFmtId="0" fontId="7" fillId="0" borderId="29" xfId="0" applyFont="1" applyBorder="1" applyAlignment="1">
      <alignment/>
    </xf>
    <xf numFmtId="0" fontId="23" fillId="0" borderId="40" xfId="0" applyFont="1" applyBorder="1" applyAlignment="1">
      <alignment/>
    </xf>
    <xf numFmtId="0" fontId="0" fillId="0" borderId="40" xfId="0" applyFont="1" applyBorder="1" applyAlignment="1">
      <alignment/>
    </xf>
    <xf numFmtId="0" fontId="23" fillId="0" borderId="40" xfId="0" applyFont="1" applyBorder="1" applyAlignment="1">
      <alignment horizontal="left"/>
    </xf>
    <xf numFmtId="0" fontId="23" fillId="0" borderId="1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123825</xdr:rowOff>
    </xdr:from>
    <xdr:to>
      <xdr:col>5</xdr:col>
      <xdr:colOff>314325</xdr:colOff>
      <xdr:row>11</xdr:row>
      <xdr:rowOff>9525</xdr:rowOff>
    </xdr:to>
    <xdr:pic>
      <xdr:nvPicPr>
        <xdr:cNvPr id="1" name="Immagine 1"/>
        <xdr:cNvPicPr preferRelativeResize="1">
          <a:picLocks noChangeAspect="1"/>
        </xdr:cNvPicPr>
      </xdr:nvPicPr>
      <xdr:blipFill>
        <a:blip r:embed="rId1"/>
        <a:stretch>
          <a:fillRect/>
        </a:stretch>
      </xdr:blipFill>
      <xdr:spPr>
        <a:xfrm>
          <a:off x="6953250" y="476250"/>
          <a:ext cx="942975" cy="2066925"/>
        </a:xfrm>
        <a:prstGeom prst="rect">
          <a:avLst/>
        </a:prstGeom>
        <a:blipFill>
          <a:blip r:embed=""/>
          <a:srcRect/>
          <a:stretch>
            <a:fillRect/>
          </a:stretch>
        </a:blipFill>
        <a:ln w="9525" cmpd="sng">
          <a:noFill/>
        </a:ln>
      </xdr:spPr>
    </xdr:pic>
    <xdr:clientData/>
  </xdr:twoCellAnchor>
  <xdr:twoCellAnchor>
    <xdr:from>
      <xdr:col>1</xdr:col>
      <xdr:colOff>714375</xdr:colOff>
      <xdr:row>142</xdr:row>
      <xdr:rowOff>85725</xdr:rowOff>
    </xdr:from>
    <xdr:to>
      <xdr:col>2</xdr:col>
      <xdr:colOff>238125</xdr:colOff>
      <xdr:row>149</xdr:row>
      <xdr:rowOff>104775</xdr:rowOff>
    </xdr:to>
    <xdr:pic>
      <xdr:nvPicPr>
        <xdr:cNvPr id="2" name="Immagine 2"/>
        <xdr:cNvPicPr preferRelativeResize="1">
          <a:picLocks noChangeAspect="1"/>
        </xdr:cNvPicPr>
      </xdr:nvPicPr>
      <xdr:blipFill>
        <a:blip r:embed="rId1"/>
        <a:stretch>
          <a:fillRect/>
        </a:stretch>
      </xdr:blipFill>
      <xdr:spPr>
        <a:xfrm>
          <a:off x="4543425" y="26079450"/>
          <a:ext cx="514350" cy="1085850"/>
        </a:xfrm>
        <a:prstGeom prst="rect">
          <a:avLst/>
        </a:prstGeom>
        <a:blipFill>
          <a:blip r:embed=""/>
          <a:srcRect/>
          <a:stretch>
            <a:fillRect/>
          </a:stretch>
        </a:blipFill>
        <a:ln w="9525" cmpd="sng">
          <a:noFill/>
        </a:ln>
      </xdr:spPr>
    </xdr:pic>
    <xdr:clientData/>
  </xdr:twoCellAnchor>
  <xdr:twoCellAnchor>
    <xdr:from>
      <xdr:col>2</xdr:col>
      <xdr:colOff>323850</xdr:colOff>
      <xdr:row>164</xdr:row>
      <xdr:rowOff>47625</xdr:rowOff>
    </xdr:from>
    <xdr:to>
      <xdr:col>2</xdr:col>
      <xdr:colOff>838200</xdr:colOff>
      <xdr:row>170</xdr:row>
      <xdr:rowOff>114300</xdr:rowOff>
    </xdr:to>
    <xdr:pic>
      <xdr:nvPicPr>
        <xdr:cNvPr id="3" name="Immagine 3"/>
        <xdr:cNvPicPr preferRelativeResize="1">
          <a:picLocks noChangeAspect="1"/>
        </xdr:cNvPicPr>
      </xdr:nvPicPr>
      <xdr:blipFill>
        <a:blip r:embed="rId1"/>
        <a:stretch>
          <a:fillRect/>
        </a:stretch>
      </xdr:blipFill>
      <xdr:spPr>
        <a:xfrm>
          <a:off x="5143500" y="29575125"/>
          <a:ext cx="514350" cy="981075"/>
        </a:xfrm>
        <a:prstGeom prst="rect">
          <a:avLst/>
        </a:prstGeom>
        <a:blipFill>
          <a:blip r:embed=""/>
          <a:srcRect/>
          <a:stretch>
            <a:fillRect/>
          </a:stretch>
        </a:blipFill>
        <a:ln w="9525" cmpd="sng">
          <a:noFill/>
        </a:ln>
      </xdr:spPr>
    </xdr:pic>
    <xdr:clientData/>
  </xdr:twoCellAnchor>
  <xdr:twoCellAnchor>
    <xdr:from>
      <xdr:col>2</xdr:col>
      <xdr:colOff>638175</xdr:colOff>
      <xdr:row>239</xdr:row>
      <xdr:rowOff>123825</xdr:rowOff>
    </xdr:from>
    <xdr:to>
      <xdr:col>3</xdr:col>
      <xdr:colOff>209550</xdr:colOff>
      <xdr:row>247</xdr:row>
      <xdr:rowOff>76200</xdr:rowOff>
    </xdr:to>
    <xdr:pic>
      <xdr:nvPicPr>
        <xdr:cNvPr id="4" name="Immagine 4"/>
        <xdr:cNvPicPr preferRelativeResize="1">
          <a:picLocks noChangeAspect="1"/>
        </xdr:cNvPicPr>
      </xdr:nvPicPr>
      <xdr:blipFill>
        <a:blip r:embed="rId1"/>
        <a:stretch>
          <a:fillRect/>
        </a:stretch>
      </xdr:blipFill>
      <xdr:spPr>
        <a:xfrm>
          <a:off x="5457825" y="43157775"/>
          <a:ext cx="561975" cy="1190625"/>
        </a:xfrm>
        <a:prstGeom prst="rect">
          <a:avLst/>
        </a:prstGeom>
        <a:blipFill>
          <a:blip r:embed=""/>
          <a:srcRect/>
          <a:stretch>
            <a:fillRect/>
          </a:stretch>
        </a:blipFill>
        <a:ln w="9525" cmpd="sng">
          <a:noFill/>
        </a:ln>
      </xdr:spPr>
    </xdr:pic>
    <xdr:clientData/>
  </xdr:twoCellAnchor>
  <xdr:twoCellAnchor>
    <xdr:from>
      <xdr:col>3</xdr:col>
      <xdr:colOff>581025</xdr:colOff>
      <xdr:row>238</xdr:row>
      <xdr:rowOff>133350</xdr:rowOff>
    </xdr:from>
    <xdr:to>
      <xdr:col>6</xdr:col>
      <xdr:colOff>0</xdr:colOff>
      <xdr:row>249</xdr:row>
      <xdr:rowOff>104775</xdr:rowOff>
    </xdr:to>
    <xdr:pic>
      <xdr:nvPicPr>
        <xdr:cNvPr id="5" name="Immagine 5"/>
        <xdr:cNvPicPr preferRelativeResize="1">
          <a:picLocks noChangeAspect="1"/>
        </xdr:cNvPicPr>
      </xdr:nvPicPr>
      <xdr:blipFill>
        <a:blip r:embed="rId2"/>
        <a:stretch>
          <a:fillRect/>
        </a:stretch>
      </xdr:blipFill>
      <xdr:spPr>
        <a:xfrm>
          <a:off x="6391275" y="43005375"/>
          <a:ext cx="1943100" cy="1676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252"/>
  <sheetViews>
    <sheetView tabSelected="1" zoomScale="150" zoomScaleNormal="150" workbookViewId="0" topLeftCell="A1">
      <selection activeCell="E1" sqref="E1"/>
    </sheetView>
  </sheetViews>
  <sheetFormatPr defaultColWidth="11.421875" defaultRowHeight="12.75"/>
  <cols>
    <col min="1" max="1" width="57.421875" style="0" customWidth="1"/>
    <col min="2" max="3" width="14.8515625" style="1" customWidth="1"/>
    <col min="4" max="4" width="14.8515625" style="2" customWidth="1"/>
    <col min="5" max="5" width="11.7109375" style="3" customWidth="1"/>
    <col min="6" max="6" width="11.28125" style="0" customWidth="1"/>
    <col min="7" max="7" width="16.8515625" style="0" customWidth="1"/>
    <col min="8" max="16384" width="8.8515625" style="0" customWidth="1"/>
  </cols>
  <sheetData>
    <row r="1" spans="1:5" ht="27.75">
      <c r="A1" s="4" t="s">
        <v>641</v>
      </c>
      <c r="B1" s="5"/>
      <c r="C1" s="5"/>
      <c r="E1" s="6" t="s">
        <v>37</v>
      </c>
    </row>
    <row r="2" spans="1:6" ht="27.75">
      <c r="A2" s="4" t="s">
        <v>642</v>
      </c>
      <c r="B2" s="5"/>
      <c r="C2" s="5"/>
      <c r="D2" s="5"/>
      <c r="E2" s="347"/>
      <c r="F2" s="347"/>
    </row>
    <row r="3" spans="1:6" ht="27.75">
      <c r="A3" s="4" t="s">
        <v>643</v>
      </c>
      <c r="B3" s="5"/>
      <c r="C3" s="5"/>
      <c r="D3"/>
      <c r="E3" s="347"/>
      <c r="F3" s="347"/>
    </row>
    <row r="4" spans="1:6" ht="27.75">
      <c r="A4" s="4" t="s">
        <v>644</v>
      </c>
      <c r="B4" s="5"/>
      <c r="C4" s="5"/>
      <c r="D4"/>
      <c r="E4" s="347"/>
      <c r="F4" s="347"/>
    </row>
    <row r="5" spans="5:6" ht="18.75" customHeight="1">
      <c r="E5" s="347"/>
      <c r="F5" s="347"/>
    </row>
    <row r="6" spans="1:6" ht="12" customHeight="1">
      <c r="A6" s="7" t="s">
        <v>645</v>
      </c>
      <c r="E6" s="347"/>
      <c r="F6" s="347"/>
    </row>
    <row r="7" spans="1:6" ht="12">
      <c r="A7" s="7" t="s">
        <v>646</v>
      </c>
      <c r="E7" s="347"/>
      <c r="F7" s="347"/>
    </row>
    <row r="8" spans="1:6" s="7" customFormat="1" ht="12">
      <c r="A8" s="7" t="s">
        <v>647</v>
      </c>
      <c r="B8" s="8"/>
      <c r="C8" s="8"/>
      <c r="D8" s="9"/>
      <c r="E8" s="347"/>
      <c r="F8" s="347"/>
    </row>
    <row r="9" spans="1:6" s="7" customFormat="1" ht="12">
      <c r="A9" s="7" t="s">
        <v>648</v>
      </c>
      <c r="B9" s="8"/>
      <c r="C9" s="8"/>
      <c r="D9" s="9"/>
      <c r="E9" s="347"/>
      <c r="F9" s="347"/>
    </row>
    <row r="10" spans="1:6" ht="9.75" customHeight="1">
      <c r="A10" s="10"/>
      <c r="E10" s="347"/>
      <c r="F10" s="347"/>
    </row>
    <row r="11" spans="1:6" s="14" customFormat="1" ht="12" customHeight="1">
      <c r="A11" s="11" t="s">
        <v>649</v>
      </c>
      <c r="B11" s="12"/>
      <c r="C11" s="12"/>
      <c r="D11" s="13"/>
      <c r="E11" s="347"/>
      <c r="F11" s="347"/>
    </row>
    <row r="12" spans="1:6" s="14" customFormat="1" ht="12" customHeight="1">
      <c r="A12" s="15"/>
      <c r="B12" s="12"/>
      <c r="C12" s="12"/>
      <c r="D12" s="13"/>
      <c r="E12" s="347"/>
      <c r="F12" s="347"/>
    </row>
    <row r="13" spans="1:5" s="14" customFormat="1" ht="12" customHeight="1">
      <c r="A13" s="11" t="s">
        <v>650</v>
      </c>
      <c r="B13" s="12"/>
      <c r="C13" s="12"/>
      <c r="D13" s="13"/>
      <c r="E13" s="16"/>
    </row>
    <row r="14" spans="1:3" ht="12">
      <c r="A14" t="s">
        <v>651</v>
      </c>
      <c r="B14" s="17"/>
      <c r="C14" s="18" t="s">
        <v>652</v>
      </c>
    </row>
    <row r="15" spans="1:3" ht="12">
      <c r="A15" t="s">
        <v>653</v>
      </c>
      <c r="B15" s="17"/>
      <c r="C15" s="18" t="s">
        <v>652</v>
      </c>
    </row>
    <row r="16" spans="1:3" ht="12">
      <c r="A16" t="s">
        <v>654</v>
      </c>
      <c r="B16" s="17"/>
      <c r="C16" s="18" t="s">
        <v>652</v>
      </c>
    </row>
    <row r="17" spans="1:3" ht="12">
      <c r="A17" s="19" t="s">
        <v>655</v>
      </c>
      <c r="B17" s="20"/>
      <c r="C17" s="18" t="s">
        <v>656</v>
      </c>
    </row>
    <row r="18" spans="1:4" ht="12">
      <c r="A18" s="19"/>
      <c r="B18" s="21"/>
      <c r="C18" s="22"/>
      <c r="D18" s="23"/>
    </row>
    <row r="19" spans="1:7" ht="16.5" customHeight="1">
      <c r="A19" s="348" t="s">
        <v>657</v>
      </c>
      <c r="B19" s="348"/>
      <c r="C19" s="25">
        <f>B16*B17/1000</f>
        <v>0</v>
      </c>
      <c r="D19" s="23" t="s">
        <v>658</v>
      </c>
      <c r="G19" t="s">
        <v>659</v>
      </c>
    </row>
    <row r="20" spans="1:4" ht="12">
      <c r="A20" s="19"/>
      <c r="B20" s="21"/>
      <c r="C20" s="22"/>
      <c r="D20" s="23"/>
    </row>
    <row r="21" spans="1:11" ht="18">
      <c r="A21" s="349" t="s">
        <v>660</v>
      </c>
      <c r="B21" s="349"/>
      <c r="C21" s="349"/>
      <c r="D21" s="349"/>
      <c r="E21" s="349"/>
      <c r="F21" s="26">
        <f>C19*30</f>
        <v>0</v>
      </c>
      <c r="G21" s="350" t="s">
        <v>661</v>
      </c>
      <c r="H21" s="350"/>
      <c r="I21" s="350"/>
      <c r="J21" s="350"/>
      <c r="K21" s="350"/>
    </row>
    <row r="23" spans="1:11" ht="18">
      <c r="A23" s="349" t="s">
        <v>662</v>
      </c>
      <c r="B23" s="349"/>
      <c r="C23" s="349"/>
      <c r="D23" s="349"/>
      <c r="E23" s="351">
        <f>C19*3000</f>
        <v>0</v>
      </c>
      <c r="F23" s="351"/>
      <c r="G23" s="350" t="s">
        <v>663</v>
      </c>
      <c r="H23" s="350"/>
      <c r="I23" s="350"/>
      <c r="J23" s="350"/>
      <c r="K23" s="350"/>
    </row>
    <row r="24" spans="1:3" ht="12">
      <c r="A24" s="19"/>
      <c r="B24" s="2"/>
      <c r="C24" s="18"/>
    </row>
    <row r="25" spans="1:3" ht="12">
      <c r="A25" s="28" t="s">
        <v>610</v>
      </c>
      <c r="B25" s="2"/>
      <c r="C25" s="18"/>
    </row>
    <row r="27" spans="1:2" ht="15.75" customHeight="1">
      <c r="A27" s="29" t="s">
        <v>611</v>
      </c>
      <c r="B27" s="30"/>
    </row>
    <row r="28" spans="1:6" ht="13.5" customHeight="1">
      <c r="A28" s="31"/>
      <c r="E28" s="32"/>
      <c r="F28" s="33"/>
    </row>
    <row r="29" spans="1:2" ht="12">
      <c r="A29" s="34" t="s">
        <v>612</v>
      </c>
      <c r="B29" s="35"/>
    </row>
    <row r="30" ht="12">
      <c r="A30" s="36" t="s">
        <v>613</v>
      </c>
    </row>
    <row r="31" spans="1:6" ht="12">
      <c r="A31" t="s">
        <v>614</v>
      </c>
      <c r="B31" s="17"/>
      <c r="C31" s="1">
        <v>2.1</v>
      </c>
      <c r="D31" s="37">
        <f>B31*C31</f>
        <v>0</v>
      </c>
      <c r="E31" s="38" t="s">
        <v>615</v>
      </c>
      <c r="F31" t="s">
        <v>616</v>
      </c>
    </row>
    <row r="32" spans="1:6" ht="12">
      <c r="A32" t="s">
        <v>617</v>
      </c>
      <c r="B32" s="17"/>
      <c r="C32" s="1">
        <v>5.9</v>
      </c>
      <c r="D32" s="37">
        <f>B32*C32</f>
        <v>0</v>
      </c>
      <c r="E32" s="38" t="s">
        <v>615</v>
      </c>
      <c r="F32" t="s">
        <v>618</v>
      </c>
    </row>
    <row r="33" spans="1:6" ht="12">
      <c r="A33" t="s">
        <v>619</v>
      </c>
      <c r="B33" s="17"/>
      <c r="C33" s="1">
        <v>0.19</v>
      </c>
      <c r="D33" s="37">
        <f>B33*C33</f>
        <v>0</v>
      </c>
      <c r="E33" s="38" t="s">
        <v>615</v>
      </c>
      <c r="F33" t="s">
        <v>620</v>
      </c>
    </row>
    <row r="34" spans="1:6" ht="12">
      <c r="A34" t="s">
        <v>621</v>
      </c>
      <c r="B34" s="17"/>
      <c r="C34" s="1">
        <v>0.884</v>
      </c>
      <c r="D34" s="37">
        <f>B34*C34</f>
        <v>0</v>
      </c>
      <c r="E34" s="38" t="s">
        <v>615</v>
      </c>
      <c r="F34" t="s">
        <v>622</v>
      </c>
    </row>
    <row r="35" spans="1:5" ht="12">
      <c r="A35" t="s">
        <v>623</v>
      </c>
      <c r="B35" s="17"/>
      <c r="C35" s="1">
        <v>13.3</v>
      </c>
      <c r="D35" s="37">
        <f>B35*C35</f>
        <v>0</v>
      </c>
      <c r="E35" s="38" t="s">
        <v>615</v>
      </c>
    </row>
    <row r="36" spans="4:5" ht="12">
      <c r="D36" s="39"/>
      <c r="E36" s="16"/>
    </row>
    <row r="37" spans="1:5" ht="12">
      <c r="A37" s="34" t="s">
        <v>624</v>
      </c>
      <c r="D37" s="39"/>
      <c r="E37" s="16"/>
    </row>
    <row r="38" spans="1:5" ht="12">
      <c r="A38" s="36" t="s">
        <v>625</v>
      </c>
      <c r="D38" s="39"/>
      <c r="E38" s="16"/>
    </row>
    <row r="39" spans="1:5" ht="12">
      <c r="A39" t="s">
        <v>626</v>
      </c>
      <c r="B39" s="17"/>
      <c r="C39" s="1">
        <v>2.7</v>
      </c>
      <c r="D39" s="37">
        <f>B39*C39</f>
        <v>0</v>
      </c>
      <c r="E39" s="38" t="s">
        <v>615</v>
      </c>
    </row>
    <row r="40" spans="1:5" ht="12" hidden="1">
      <c r="A40" t="s">
        <v>627</v>
      </c>
      <c r="B40" s="17"/>
      <c r="C40" s="1">
        <v>2.5</v>
      </c>
      <c r="D40" s="37">
        <f>B40*C40</f>
        <v>0</v>
      </c>
      <c r="E40" s="16"/>
    </row>
    <row r="41" spans="1:5" s="34" customFormat="1" ht="12" hidden="1">
      <c r="A41"/>
      <c r="B41" s="1"/>
      <c r="C41" s="1"/>
      <c r="D41" s="39"/>
      <c r="E41" s="16"/>
    </row>
    <row r="42" spans="1:5" ht="12" hidden="1">
      <c r="A42" s="34" t="s">
        <v>628</v>
      </c>
      <c r="B42" s="40"/>
      <c r="C42" s="40"/>
      <c r="D42" s="39"/>
      <c r="E42" s="16"/>
    </row>
    <row r="43" spans="1:6" ht="12">
      <c r="A43" s="14" t="s">
        <v>629</v>
      </c>
      <c r="B43" s="41"/>
      <c r="C43" s="42">
        <v>2.84</v>
      </c>
      <c r="D43" s="37">
        <f>B43*C43</f>
        <v>0</v>
      </c>
      <c r="E43" s="43" t="s">
        <v>615</v>
      </c>
      <c r="F43" t="s">
        <v>630</v>
      </c>
    </row>
    <row r="44" spans="1:6" ht="12">
      <c r="A44" s="44" t="s">
        <v>631</v>
      </c>
      <c r="B44" s="41"/>
      <c r="C44" s="42">
        <v>2.5</v>
      </c>
      <c r="D44" s="37">
        <f>B44*C44+C44</f>
        <v>2.5</v>
      </c>
      <c r="E44" s="16" t="s">
        <v>615</v>
      </c>
      <c r="F44" t="s">
        <v>620</v>
      </c>
    </row>
    <row r="45" spans="1:5" ht="12">
      <c r="A45" s="44" t="s">
        <v>632</v>
      </c>
      <c r="B45" s="17"/>
      <c r="C45" s="1">
        <v>1</v>
      </c>
      <c r="D45" s="37">
        <f>B45*C45</f>
        <v>0</v>
      </c>
      <c r="E45" s="38" t="s">
        <v>615</v>
      </c>
    </row>
    <row r="46" spans="1:5" ht="12">
      <c r="A46" s="36" t="s">
        <v>633</v>
      </c>
      <c r="D46" s="45"/>
      <c r="E46" s="38"/>
    </row>
    <row r="47" spans="4:5" ht="12">
      <c r="D47" s="39"/>
      <c r="E47" s="16"/>
    </row>
    <row r="48" spans="1:5" ht="12">
      <c r="A48" s="34" t="s">
        <v>634</v>
      </c>
      <c r="D48" s="39"/>
      <c r="E48" s="16"/>
    </row>
    <row r="49" spans="1:5" ht="12">
      <c r="A49" s="36" t="s">
        <v>613</v>
      </c>
      <c r="D49" s="39"/>
      <c r="E49" s="16"/>
    </row>
    <row r="50" spans="1:6" ht="12">
      <c r="A50" t="s">
        <v>635</v>
      </c>
      <c r="B50" s="17"/>
      <c r="C50" s="1">
        <v>3.2</v>
      </c>
      <c r="D50" s="37">
        <f>B50*C50</f>
        <v>0</v>
      </c>
      <c r="E50" s="38" t="s">
        <v>615</v>
      </c>
      <c r="F50" t="s">
        <v>620</v>
      </c>
    </row>
    <row r="51" spans="1:7" ht="12">
      <c r="A51" t="s">
        <v>636</v>
      </c>
      <c r="B51" s="17"/>
      <c r="C51" s="1">
        <v>12.1</v>
      </c>
      <c r="D51" s="37">
        <f>B51*C51</f>
        <v>0</v>
      </c>
      <c r="E51" s="38" t="s">
        <v>615</v>
      </c>
      <c r="G51" t="s">
        <v>637</v>
      </c>
    </row>
    <row r="52" spans="1:7" ht="12">
      <c r="A52" t="s">
        <v>638</v>
      </c>
      <c r="B52" s="17"/>
      <c r="C52" s="1">
        <v>14.6</v>
      </c>
      <c r="D52" s="37">
        <f>B52*C52</f>
        <v>0</v>
      </c>
      <c r="E52" s="38" t="s">
        <v>615</v>
      </c>
      <c r="G52" t="s">
        <v>639</v>
      </c>
    </row>
    <row r="53" spans="2:7" ht="12">
      <c r="B53" s="21"/>
      <c r="C53" s="21"/>
      <c r="D53" s="45"/>
      <c r="E53" s="16"/>
      <c r="G53" t="s">
        <v>640</v>
      </c>
    </row>
    <row r="54" spans="1:5" ht="12">
      <c r="A54" s="34" t="s">
        <v>583</v>
      </c>
      <c r="D54" s="39"/>
      <c r="E54" s="16"/>
    </row>
    <row r="55" spans="4:5" ht="19.5" customHeight="1">
      <c r="D55" s="39"/>
      <c r="E55" s="16"/>
    </row>
    <row r="56" spans="1:5" ht="18">
      <c r="A56" s="29" t="s">
        <v>584</v>
      </c>
      <c r="D56" s="39"/>
      <c r="E56" s="16"/>
    </row>
    <row r="57" spans="1:5" ht="10.5" customHeight="1">
      <c r="A57" s="31"/>
      <c r="D57" s="39"/>
      <c r="E57" s="16"/>
    </row>
    <row r="58" spans="1:5" ht="12">
      <c r="A58" s="36" t="s">
        <v>585</v>
      </c>
      <c r="D58" s="39"/>
      <c r="E58" s="16"/>
    </row>
    <row r="59" spans="4:5" ht="12">
      <c r="D59" s="39"/>
      <c r="E59" s="16"/>
    </row>
    <row r="60" spans="1:6" ht="12">
      <c r="A60" t="s">
        <v>586</v>
      </c>
      <c r="B60" s="17"/>
      <c r="C60" s="1">
        <f>B17/1000</f>
        <v>0</v>
      </c>
      <c r="D60" s="37">
        <f>B60*C60</f>
        <v>0</v>
      </c>
      <c r="E60" s="38" t="s">
        <v>615</v>
      </c>
      <c r="F60" s="3" t="s">
        <v>587</v>
      </c>
    </row>
    <row r="61" spans="1:6" ht="12" customHeight="1">
      <c r="A61" t="s">
        <v>588</v>
      </c>
      <c r="B61" s="17"/>
      <c r="C61" s="1">
        <v>0.015</v>
      </c>
      <c r="D61" s="37">
        <f>B61*C61</f>
        <v>0</v>
      </c>
      <c r="E61" s="38" t="s">
        <v>615</v>
      </c>
      <c r="F61" s="3" t="s">
        <v>589</v>
      </c>
    </row>
    <row r="62" spans="1:5" ht="12" customHeight="1">
      <c r="A62" s="36" t="s">
        <v>590</v>
      </c>
      <c r="D62" s="39"/>
      <c r="E62" s="16"/>
    </row>
    <row r="63" spans="1:5" ht="18.75" customHeight="1">
      <c r="A63" s="31"/>
      <c r="D63" s="39"/>
      <c r="E63" s="16"/>
    </row>
    <row r="64" spans="1:5" ht="18">
      <c r="A64" s="29" t="s">
        <v>591</v>
      </c>
      <c r="D64" s="39"/>
      <c r="E64" s="16"/>
    </row>
    <row r="65" spans="1:5" ht="12" customHeight="1">
      <c r="A65" s="31"/>
      <c r="D65" s="39"/>
      <c r="E65" s="16"/>
    </row>
    <row r="66" spans="1:5" ht="12">
      <c r="A66" s="36" t="s">
        <v>592</v>
      </c>
      <c r="D66" s="39"/>
      <c r="E66" s="16"/>
    </row>
    <row r="67" spans="1:5" ht="12">
      <c r="A67" t="s">
        <v>593</v>
      </c>
      <c r="B67" s="17"/>
      <c r="C67" s="1">
        <v>2.3</v>
      </c>
      <c r="D67" s="37">
        <f>B67*C67</f>
        <v>0</v>
      </c>
      <c r="E67" s="38" t="s">
        <v>615</v>
      </c>
    </row>
    <row r="68" spans="1:6" ht="12">
      <c r="A68" t="s">
        <v>594</v>
      </c>
      <c r="B68" s="17"/>
      <c r="C68" s="1">
        <v>8.7</v>
      </c>
      <c r="D68" s="37">
        <f>C68*B68</f>
        <v>0</v>
      </c>
      <c r="E68" s="38" t="s">
        <v>615</v>
      </c>
      <c r="F68" t="s">
        <v>637</v>
      </c>
    </row>
    <row r="69" spans="1:6" ht="12">
      <c r="A69" t="s">
        <v>595</v>
      </c>
      <c r="B69" s="17"/>
      <c r="C69" s="1">
        <v>10.5</v>
      </c>
      <c r="D69" s="37">
        <f>C69*B69</f>
        <v>0</v>
      </c>
      <c r="E69" s="38" t="s">
        <v>615</v>
      </c>
      <c r="F69" t="s">
        <v>639</v>
      </c>
    </row>
    <row r="70" spans="1:5" ht="12">
      <c r="A70" t="s">
        <v>596</v>
      </c>
      <c r="B70" s="17"/>
      <c r="C70" s="1">
        <v>2.6</v>
      </c>
      <c r="D70" s="37">
        <f>B70*C70</f>
        <v>0</v>
      </c>
      <c r="E70" s="38" t="s">
        <v>615</v>
      </c>
    </row>
    <row r="71" spans="1:6" ht="12">
      <c r="A71" t="s">
        <v>597</v>
      </c>
      <c r="B71" s="17"/>
      <c r="C71" s="1">
        <v>9.9</v>
      </c>
      <c r="D71" s="37">
        <f>B71*C71</f>
        <v>0</v>
      </c>
      <c r="E71" s="38" t="s">
        <v>615</v>
      </c>
      <c r="F71" t="s">
        <v>637</v>
      </c>
    </row>
    <row r="72" spans="1:6" ht="12">
      <c r="A72" t="s">
        <v>598</v>
      </c>
      <c r="B72" s="17"/>
      <c r="C72" s="1">
        <v>11.83</v>
      </c>
      <c r="D72" s="37">
        <f>C72*B72</f>
        <v>0</v>
      </c>
      <c r="E72" s="38" t="s">
        <v>615</v>
      </c>
      <c r="F72" t="s">
        <v>639</v>
      </c>
    </row>
    <row r="73" spans="4:5" ht="12">
      <c r="D73" s="39"/>
      <c r="E73" s="16"/>
    </row>
    <row r="74" spans="1:5" s="14" customFormat="1" ht="12">
      <c r="A74" s="34" t="s">
        <v>599</v>
      </c>
      <c r="B74" s="1"/>
      <c r="C74" s="1"/>
      <c r="D74" s="39"/>
      <c r="E74" s="16"/>
    </row>
    <row r="75" spans="1:5" s="14" customFormat="1" ht="12">
      <c r="A75" s="36" t="s">
        <v>600</v>
      </c>
      <c r="B75" s="42"/>
      <c r="C75" s="42"/>
      <c r="D75" s="39"/>
      <c r="E75" s="16"/>
    </row>
    <row r="76" spans="2:5" s="14" customFormat="1" ht="12">
      <c r="B76" s="42"/>
      <c r="C76" s="42"/>
      <c r="D76" s="39"/>
      <c r="E76" s="16"/>
    </row>
    <row r="77" spans="1:5" ht="12">
      <c r="A77" s="34" t="s">
        <v>601</v>
      </c>
      <c r="B77" s="42"/>
      <c r="C77" s="42"/>
      <c r="D77" s="39"/>
      <c r="E77" s="16"/>
    </row>
    <row r="78" spans="1:5" ht="12">
      <c r="A78" t="s">
        <v>602</v>
      </c>
      <c r="B78" s="17"/>
      <c r="C78" s="1">
        <v>0.16</v>
      </c>
      <c r="D78" s="37">
        <f>B78*C78</f>
        <v>0</v>
      </c>
      <c r="E78" s="38" t="s">
        <v>615</v>
      </c>
    </row>
    <row r="79" spans="1:5" ht="12">
      <c r="A79" t="s">
        <v>603</v>
      </c>
      <c r="B79" s="17"/>
      <c r="C79" s="1">
        <v>0.26</v>
      </c>
      <c r="D79" s="37">
        <f>B79*C79</f>
        <v>0</v>
      </c>
      <c r="E79" s="38" t="s">
        <v>615</v>
      </c>
    </row>
    <row r="80" spans="4:5" ht="12">
      <c r="D80" s="39"/>
      <c r="E80" s="16"/>
    </row>
    <row r="81" spans="1:5" ht="12">
      <c r="A81" s="34" t="s">
        <v>604</v>
      </c>
      <c r="D81" s="39"/>
      <c r="E81" s="16"/>
    </row>
    <row r="82" spans="1:5" ht="12">
      <c r="A82" t="s">
        <v>602</v>
      </c>
      <c r="B82" s="17"/>
      <c r="C82" s="1">
        <v>0.19</v>
      </c>
      <c r="D82" s="37">
        <f>B82*C82</f>
        <v>0</v>
      </c>
      <c r="E82" s="38" t="s">
        <v>615</v>
      </c>
    </row>
    <row r="83" spans="1:5" ht="12">
      <c r="A83" t="s">
        <v>603</v>
      </c>
      <c r="B83" s="17"/>
      <c r="C83" s="1">
        <v>0.3</v>
      </c>
      <c r="D83" s="37">
        <f>B83*C83</f>
        <v>0</v>
      </c>
      <c r="E83" s="38" t="s">
        <v>615</v>
      </c>
    </row>
    <row r="84" spans="4:5" ht="12">
      <c r="D84" s="39"/>
      <c r="E84" s="16"/>
    </row>
    <row r="85" spans="1:5" ht="12">
      <c r="A85" s="34" t="s">
        <v>605</v>
      </c>
      <c r="D85" s="39"/>
      <c r="E85" s="16"/>
    </row>
    <row r="86" spans="1:5" ht="12">
      <c r="A86" t="s">
        <v>602</v>
      </c>
      <c r="B86" s="17"/>
      <c r="C86" s="1">
        <v>0.22</v>
      </c>
      <c r="D86" s="37">
        <f>B86*C86</f>
        <v>0</v>
      </c>
      <c r="E86" s="38" t="s">
        <v>615</v>
      </c>
    </row>
    <row r="87" spans="1:5" ht="12">
      <c r="A87" t="s">
        <v>603</v>
      </c>
      <c r="B87" s="17"/>
      <c r="C87" s="1">
        <v>0.35</v>
      </c>
      <c r="D87" s="37">
        <f>B87*C87</f>
        <v>0</v>
      </c>
      <c r="E87" s="38" t="s">
        <v>615</v>
      </c>
    </row>
    <row r="88" spans="1:5" s="14" customFormat="1" ht="12">
      <c r="A88"/>
      <c r="B88" s="1"/>
      <c r="C88" s="1"/>
      <c r="D88" s="39"/>
      <c r="E88" s="16"/>
    </row>
    <row r="89" spans="1:5" ht="12">
      <c r="A89" s="34" t="s">
        <v>606</v>
      </c>
      <c r="B89" s="42"/>
      <c r="C89" s="42"/>
      <c r="D89" s="39"/>
      <c r="E89" s="16"/>
    </row>
    <row r="90" spans="1:5" ht="12">
      <c r="A90" t="s">
        <v>602</v>
      </c>
      <c r="B90" s="17"/>
      <c r="C90" s="1">
        <v>0.16</v>
      </c>
      <c r="D90" s="37">
        <f>B90*C90</f>
        <v>0</v>
      </c>
      <c r="E90" s="38" t="s">
        <v>615</v>
      </c>
    </row>
    <row r="91" spans="1:5" ht="12">
      <c r="A91" t="s">
        <v>603</v>
      </c>
      <c r="B91" s="17"/>
      <c r="C91" s="1">
        <v>0.26</v>
      </c>
      <c r="D91" s="37">
        <f>B91*C91</f>
        <v>0</v>
      </c>
      <c r="E91" s="38" t="s">
        <v>615</v>
      </c>
    </row>
    <row r="92" spans="4:5" ht="12">
      <c r="D92" s="39"/>
      <c r="E92" s="16"/>
    </row>
    <row r="93" spans="1:5" ht="12">
      <c r="A93" s="34" t="s">
        <v>607</v>
      </c>
      <c r="D93" s="39"/>
      <c r="E93" s="16"/>
    </row>
    <row r="94" spans="1:5" ht="12">
      <c r="A94" t="s">
        <v>602</v>
      </c>
      <c r="B94" s="17"/>
      <c r="C94" s="1">
        <v>0.19</v>
      </c>
      <c r="D94" s="37">
        <f>B94*C94</f>
        <v>0</v>
      </c>
      <c r="E94" s="38" t="s">
        <v>615</v>
      </c>
    </row>
    <row r="95" spans="1:5" ht="12">
      <c r="A95" t="s">
        <v>603</v>
      </c>
      <c r="B95" s="17"/>
      <c r="C95" s="1">
        <v>0.31</v>
      </c>
      <c r="D95" s="37">
        <f>B95*C95</f>
        <v>0</v>
      </c>
      <c r="E95" s="38" t="s">
        <v>615</v>
      </c>
    </row>
    <row r="96" spans="1:5" s="14" customFormat="1" ht="12">
      <c r="A96"/>
      <c r="B96" s="1"/>
      <c r="C96" s="1"/>
      <c r="D96" s="39"/>
      <c r="E96" s="16"/>
    </row>
    <row r="97" spans="1:5" ht="12">
      <c r="A97" s="34" t="s">
        <v>608</v>
      </c>
      <c r="B97" s="42"/>
      <c r="C97" s="42"/>
      <c r="D97" s="39"/>
      <c r="E97" s="16"/>
    </row>
    <row r="98" spans="1:5" ht="12">
      <c r="A98" t="s">
        <v>602</v>
      </c>
      <c r="B98" s="17"/>
      <c r="C98" s="1">
        <v>0.17</v>
      </c>
      <c r="D98" s="37">
        <f>B98*C98</f>
        <v>0</v>
      </c>
      <c r="E98" s="38" t="s">
        <v>615</v>
      </c>
    </row>
    <row r="99" spans="1:5" ht="12">
      <c r="A99" t="s">
        <v>603</v>
      </c>
      <c r="B99" s="17"/>
      <c r="C99" s="1">
        <v>0.28</v>
      </c>
      <c r="D99" s="37">
        <f>B99*C99</f>
        <v>0</v>
      </c>
      <c r="E99" s="38" t="s">
        <v>615</v>
      </c>
    </row>
    <row r="100" spans="4:5" ht="12">
      <c r="D100" s="39"/>
      <c r="E100" s="16"/>
    </row>
    <row r="101" spans="1:5" ht="18">
      <c r="A101" s="29" t="s">
        <v>609</v>
      </c>
      <c r="D101" s="39"/>
      <c r="E101" s="16"/>
    </row>
    <row r="102" spans="1:5" ht="12">
      <c r="A102" t="s">
        <v>561</v>
      </c>
      <c r="B102" s="17"/>
      <c r="C102" s="1">
        <v>0.05</v>
      </c>
      <c r="D102" s="37">
        <f>B102*C102</f>
        <v>0</v>
      </c>
      <c r="E102" s="38" t="s">
        <v>615</v>
      </c>
    </row>
    <row r="103" spans="1:5" ht="12" hidden="1">
      <c r="A103" t="s">
        <v>562</v>
      </c>
      <c r="B103" s="17"/>
      <c r="C103" s="1">
        <v>0.11</v>
      </c>
      <c r="D103" s="37">
        <f>B103*C103</f>
        <v>0</v>
      </c>
      <c r="E103" s="16"/>
    </row>
    <row r="104" spans="4:5" ht="12" hidden="1">
      <c r="D104" s="39"/>
      <c r="E104" s="16"/>
    </row>
    <row r="105" spans="4:5" ht="12" hidden="1">
      <c r="D105" s="39"/>
      <c r="E105" s="16"/>
    </row>
    <row r="106" spans="1:5" ht="18" hidden="1">
      <c r="A106" s="31" t="s">
        <v>563</v>
      </c>
      <c r="B106" s="46"/>
      <c r="C106" s="1">
        <v>0.75</v>
      </c>
      <c r="D106" s="47"/>
      <c r="E106" s="16"/>
    </row>
    <row r="107" spans="1:6" ht="12" hidden="1">
      <c r="A107" t="s">
        <v>564</v>
      </c>
      <c r="B107" s="46"/>
      <c r="C107" s="1" t="s">
        <v>565</v>
      </c>
      <c r="D107" s="47"/>
      <c r="E107" s="16"/>
      <c r="F107" s="22"/>
    </row>
    <row r="108" spans="1:6" ht="12">
      <c r="A108" t="s">
        <v>566</v>
      </c>
      <c r="B108" s="17"/>
      <c r="C108" s="1">
        <f>(0.05*B17)/800</f>
        <v>0</v>
      </c>
      <c r="D108" s="37">
        <f>B108*C108</f>
        <v>0</v>
      </c>
      <c r="E108" s="38" t="s">
        <v>615</v>
      </c>
      <c r="F108" s="22"/>
    </row>
    <row r="109" spans="1:5" ht="12">
      <c r="A109" s="36" t="s">
        <v>567</v>
      </c>
      <c r="D109" s="39"/>
      <c r="E109" s="16"/>
    </row>
    <row r="110" spans="4:5" ht="12">
      <c r="D110" s="39"/>
      <c r="E110" s="16"/>
    </row>
    <row r="111" spans="1:5" ht="18">
      <c r="A111" s="29" t="s">
        <v>568</v>
      </c>
      <c r="D111" s="39"/>
      <c r="E111" s="16"/>
    </row>
    <row r="112" spans="1:5" ht="51" customHeight="1">
      <c r="A112" s="352" t="s">
        <v>569</v>
      </c>
      <c r="B112" s="352"/>
      <c r="C112" s="352"/>
      <c r="D112" s="352"/>
      <c r="E112" s="352"/>
    </row>
    <row r="113" spans="1:5" ht="10.5" customHeight="1">
      <c r="A113" s="48"/>
      <c r="B113" s="49"/>
      <c r="C113" s="49"/>
      <c r="D113" s="49"/>
      <c r="E113" s="49"/>
    </row>
    <row r="114" spans="1:11" ht="25.5" customHeight="1">
      <c r="A114" s="50" t="s">
        <v>570</v>
      </c>
      <c r="B114" s="17">
        <v>1</v>
      </c>
      <c r="D114" s="1"/>
      <c r="F114" s="350" t="s">
        <v>571</v>
      </c>
      <c r="G114" s="350"/>
      <c r="H114" s="350"/>
      <c r="I114" s="350"/>
      <c r="J114" s="350"/>
      <c r="K114" s="350"/>
    </row>
    <row r="115" spans="1:6" ht="12" customHeight="1">
      <c r="A115" s="48"/>
      <c r="B115" s="49"/>
      <c r="C115" s="49"/>
      <c r="D115" s="49"/>
      <c r="E115" s="49"/>
      <c r="F115" t="s">
        <v>572</v>
      </c>
    </row>
    <row r="116" spans="1:6" ht="12" customHeight="1">
      <c r="A116" t="s">
        <v>573</v>
      </c>
      <c r="B116" s="20">
        <v>-527.01</v>
      </c>
      <c r="C116" s="1">
        <f>(1+(B114*1.7))*(44/12)*(156/184)*(7840+10.1*(B116-250))/(370*0.75*B116)</f>
        <v>0.0004477240301475661</v>
      </c>
      <c r="D116" s="37">
        <f aca="true" t="shared" si="0" ref="D116:D124">B116*C116</f>
        <v>-0.2359550411280688</v>
      </c>
      <c r="E116" s="38" t="s">
        <v>615</v>
      </c>
      <c r="F116" s="51" t="s">
        <v>574</v>
      </c>
    </row>
    <row r="117" spans="1:7" ht="10.5" customHeight="1">
      <c r="A117" t="s">
        <v>575</v>
      </c>
      <c r="B117" s="20">
        <v>-527.01</v>
      </c>
      <c r="C117" s="1">
        <f>(1+(B114*1.7))*(44/12)*(156/184)*(7840+10.1*(B117-250))/(370*0.75*B117)</f>
        <v>0.0004477240301475661</v>
      </c>
      <c r="D117" s="52">
        <f t="shared" si="0"/>
        <v>-0.2359550411280688</v>
      </c>
      <c r="E117" s="53" t="s">
        <v>615</v>
      </c>
      <c r="F117" s="350" t="s">
        <v>576</v>
      </c>
      <c r="G117" s="350"/>
    </row>
    <row r="118" spans="1:11" ht="12">
      <c r="A118" t="s">
        <v>577</v>
      </c>
      <c r="B118" s="20">
        <v>-527.01</v>
      </c>
      <c r="C118" s="1">
        <f>(1+(B114*1.7))*(44/12)*(156/184)*(7840+10.1*(B118-250))/(370*0.75*B118)</f>
        <v>0.0004477240301475661</v>
      </c>
      <c r="D118" s="52">
        <f t="shared" si="0"/>
        <v>-0.2359550411280688</v>
      </c>
      <c r="E118" s="53" t="s">
        <v>615</v>
      </c>
      <c r="F118" s="353" t="s">
        <v>578</v>
      </c>
      <c r="G118" s="353"/>
      <c r="H118" s="353"/>
      <c r="I118" s="353"/>
      <c r="J118" s="353"/>
      <c r="K118" s="353"/>
    </row>
    <row r="119" spans="1:11" ht="12">
      <c r="A119" t="s">
        <v>579</v>
      </c>
      <c r="B119" s="20">
        <v>-527.01</v>
      </c>
      <c r="C119" s="1">
        <f>(1+(B114*1.7))*(44/12)*(156/184)*(7840+10.1*(B119-250))/(370*0.75*B119/1.25)</f>
        <v>0.0005596550376844576</v>
      </c>
      <c r="D119" s="52">
        <f t="shared" si="0"/>
        <v>-0.29494380141008597</v>
      </c>
      <c r="E119" s="53" t="s">
        <v>615</v>
      </c>
      <c r="F119" s="353" t="s">
        <v>580</v>
      </c>
      <c r="G119" s="353"/>
      <c r="H119" s="353"/>
      <c r="I119" s="353"/>
      <c r="J119" s="353"/>
      <c r="K119" s="353"/>
    </row>
    <row r="120" spans="1:11" ht="12">
      <c r="A120" t="s">
        <v>581</v>
      </c>
      <c r="B120" s="20">
        <v>-527.01</v>
      </c>
      <c r="C120" s="1">
        <f>(1+(B114*1.7))*(44/12)*(156/184)*(7840+10.1*(B120-250))/(370*0.75*B120)</f>
        <v>0.0004477240301475661</v>
      </c>
      <c r="D120" s="52">
        <f t="shared" si="0"/>
        <v>-0.2359550411280688</v>
      </c>
      <c r="E120" s="53" t="s">
        <v>615</v>
      </c>
      <c r="F120" s="353" t="s">
        <v>582</v>
      </c>
      <c r="G120" s="353"/>
      <c r="H120" s="353"/>
      <c r="I120" s="353"/>
      <c r="J120" s="353"/>
      <c r="K120" s="353"/>
    </row>
    <row r="121" spans="1:11" ht="12">
      <c r="A121" t="s">
        <v>545</v>
      </c>
      <c r="B121" s="20">
        <v>-527.01</v>
      </c>
      <c r="C121" s="1">
        <f>(1+(B114*1.7))*(44/12)*(156/184)*(7840+10.1*(B121-250))/(370*0.75*B121/1.25)</f>
        <v>0.0005596550376844576</v>
      </c>
      <c r="D121" s="52">
        <f t="shared" si="0"/>
        <v>-0.29494380141008597</v>
      </c>
      <c r="E121" s="53" t="s">
        <v>615</v>
      </c>
      <c r="F121" s="353" t="s">
        <v>546</v>
      </c>
      <c r="G121" s="353"/>
      <c r="H121" s="353"/>
      <c r="I121" s="353"/>
      <c r="J121" s="353"/>
      <c r="K121" s="353"/>
    </row>
    <row r="122" spans="1:11" ht="12">
      <c r="A122" t="s">
        <v>547</v>
      </c>
      <c r="B122" s="20">
        <v>-527.01</v>
      </c>
      <c r="C122" s="1">
        <f>(1+(B114*1.7))*(44/12)*(156/184)*(7840+10.1*(B122-250))/(370*0.75*B122)</f>
        <v>0.0004477240301475661</v>
      </c>
      <c r="D122" s="52">
        <f t="shared" si="0"/>
        <v>-0.2359550411280688</v>
      </c>
      <c r="E122" s="53" t="s">
        <v>615</v>
      </c>
      <c r="F122" s="353" t="s">
        <v>548</v>
      </c>
      <c r="G122" s="353"/>
      <c r="H122" s="353"/>
      <c r="I122" s="353"/>
      <c r="J122" s="353"/>
      <c r="K122" s="353"/>
    </row>
    <row r="123" spans="1:6" ht="12">
      <c r="A123" t="s">
        <v>549</v>
      </c>
      <c r="B123" s="20">
        <v>-527.01</v>
      </c>
      <c r="C123" s="1">
        <f>(1+(B114*1.7))*(44/12)*(156/184)*(7840+10.1*(B123-250))/(370*0.75*B123)</f>
        <v>0.0004477240301475661</v>
      </c>
      <c r="D123" s="37">
        <f t="shared" si="0"/>
        <v>-0.2359550411280688</v>
      </c>
      <c r="E123" s="38" t="s">
        <v>615</v>
      </c>
      <c r="F123" t="s">
        <v>550</v>
      </c>
    </row>
    <row r="124" spans="1:6" ht="39" customHeight="1">
      <c r="A124" s="48" t="s">
        <v>551</v>
      </c>
      <c r="B124" s="20">
        <v>0</v>
      </c>
      <c r="C124" s="54">
        <f>1+1.7*B114</f>
        <v>2.7</v>
      </c>
      <c r="D124" s="2">
        <f t="shared" si="0"/>
        <v>0</v>
      </c>
      <c r="E124" s="16" t="s">
        <v>615</v>
      </c>
      <c r="F124" t="s">
        <v>552</v>
      </c>
    </row>
    <row r="125" spans="1:5" ht="21" customHeight="1">
      <c r="A125" s="50"/>
      <c r="D125" s="21"/>
      <c r="E125" s="16"/>
    </row>
    <row r="126" spans="1:5" ht="21" customHeight="1">
      <c r="A126" s="55" t="s">
        <v>553</v>
      </c>
      <c r="D126" s="17"/>
      <c r="E126" s="38" t="s">
        <v>615</v>
      </c>
    </row>
    <row r="127" spans="1:5" ht="39" customHeight="1">
      <c r="A127" s="352" t="s">
        <v>554</v>
      </c>
      <c r="B127" s="352"/>
      <c r="C127" s="352"/>
      <c r="D127" s="352"/>
      <c r="E127" s="352"/>
    </row>
    <row r="128" ht="12.75" customHeight="1">
      <c r="A128" s="48"/>
    </row>
    <row r="129" spans="1:6" ht="90">
      <c r="A129" s="56" t="s">
        <v>555</v>
      </c>
      <c r="B129" s="57"/>
      <c r="C129" s="57"/>
      <c r="D129" s="58">
        <f>SUM(D31:D126)</f>
        <v>0.49438215041141526</v>
      </c>
      <c r="E129" s="59" t="s">
        <v>615</v>
      </c>
      <c r="F129" s="60"/>
    </row>
    <row r="130" ht="18">
      <c r="D130" s="61"/>
    </row>
    <row r="131" spans="1:7" ht="18">
      <c r="A131" s="354" t="s">
        <v>556</v>
      </c>
      <c r="B131" s="354"/>
      <c r="C131" s="354"/>
      <c r="D131" s="354"/>
      <c r="E131" s="354"/>
      <c r="F131" s="63">
        <f>D129/30</f>
        <v>0.01647940501371384</v>
      </c>
      <c r="G131" t="s">
        <v>557</v>
      </c>
    </row>
    <row r="132" ht="10.5" customHeight="1">
      <c r="D132" s="61"/>
    </row>
    <row r="133" spans="1:4" ht="18">
      <c r="A133" t="s">
        <v>558</v>
      </c>
      <c r="C133" s="17">
        <v>1</v>
      </c>
      <c r="D133" s="61"/>
    </row>
    <row r="134" spans="1:4" ht="18">
      <c r="A134" s="36" t="s">
        <v>559</v>
      </c>
      <c r="C134" s="21"/>
      <c r="D134" s="61"/>
    </row>
    <row r="135" spans="1:4" ht="12.75" customHeight="1">
      <c r="A135" s="36"/>
      <c r="C135" s="21"/>
      <c r="D135" s="61"/>
    </row>
    <row r="136" spans="1:6" ht="36">
      <c r="A136" s="24" t="s">
        <v>560</v>
      </c>
      <c r="B136" s="64"/>
      <c r="C136" s="64"/>
      <c r="D136" s="58">
        <f>D129/C133</f>
        <v>0.49438215041141526</v>
      </c>
      <c r="E136" s="59" t="s">
        <v>615</v>
      </c>
      <c r="F136" s="65"/>
    </row>
    <row r="137" spans="1:6" ht="51.75" customHeight="1">
      <c r="A137" s="352" t="s">
        <v>533</v>
      </c>
      <c r="B137" s="352"/>
      <c r="C137" s="352"/>
      <c r="D137" s="352"/>
      <c r="E137" s="352"/>
      <c r="F137" s="352"/>
    </row>
    <row r="138" spans="1:4" ht="12" customHeight="1">
      <c r="A138" s="48"/>
      <c r="C138" s="21"/>
      <c r="D138" s="61"/>
    </row>
    <row r="139" spans="1:6" ht="36" customHeight="1">
      <c r="A139" s="56" t="s">
        <v>534</v>
      </c>
      <c r="B139" s="355" t="s">
        <v>535</v>
      </c>
      <c r="C139" s="355"/>
      <c r="D139" s="355"/>
      <c r="E139" s="355"/>
      <c r="F139" s="355"/>
    </row>
    <row r="140" spans="1:3" ht="12">
      <c r="A140" s="36" t="s">
        <v>536</v>
      </c>
      <c r="B140" s="66" t="s">
        <v>537</v>
      </c>
      <c r="C140" s="67"/>
    </row>
    <row r="141" spans="1:3" ht="12">
      <c r="A141" s="68" t="s">
        <v>538</v>
      </c>
      <c r="B141" s="69"/>
      <c r="C141" s="70"/>
    </row>
    <row r="142" ht="12">
      <c r="A142" s="67" t="s">
        <v>539</v>
      </c>
    </row>
    <row r="143" ht="12">
      <c r="A143" s="14"/>
    </row>
    <row r="144" spans="1:5" ht="12">
      <c r="A144" t="s">
        <v>540</v>
      </c>
      <c r="D144" s="2">
        <v>9800</v>
      </c>
      <c r="E144" s="3" t="s">
        <v>615</v>
      </c>
    </row>
    <row r="145" spans="1:5" ht="12">
      <c r="A145" t="s">
        <v>541</v>
      </c>
      <c r="D145" s="2">
        <v>5200</v>
      </c>
      <c r="E145" s="3" t="s">
        <v>615</v>
      </c>
    </row>
    <row r="146" spans="1:5" ht="12">
      <c r="A146" t="s">
        <v>542</v>
      </c>
      <c r="D146" s="2">
        <v>4550</v>
      </c>
      <c r="E146" s="3" t="s">
        <v>615</v>
      </c>
    </row>
    <row r="147" spans="1:5" ht="12">
      <c r="A147" t="s">
        <v>543</v>
      </c>
      <c r="D147" s="2">
        <v>3150</v>
      </c>
      <c r="E147" s="3" t="s">
        <v>615</v>
      </c>
    </row>
    <row r="148" spans="1:5" ht="12">
      <c r="A148" t="s">
        <v>544</v>
      </c>
      <c r="D148" s="2">
        <v>1300</v>
      </c>
      <c r="E148" s="3" t="s">
        <v>615</v>
      </c>
    </row>
    <row r="149" spans="1:5" ht="12">
      <c r="A149" t="s">
        <v>513</v>
      </c>
      <c r="D149" s="2">
        <v>620</v>
      </c>
      <c r="E149" s="3" t="s">
        <v>615</v>
      </c>
    </row>
    <row r="151" ht="12">
      <c r="A151" t="s">
        <v>514</v>
      </c>
    </row>
    <row r="152" ht="12">
      <c r="A152" t="s">
        <v>515</v>
      </c>
    </row>
    <row r="154" spans="1:6" ht="18">
      <c r="A154" s="71" t="s">
        <v>516</v>
      </c>
      <c r="B154" s="72"/>
      <c r="C154" s="72"/>
      <c r="D154" s="73"/>
      <c r="E154" s="74"/>
      <c r="F154" s="75"/>
    </row>
    <row r="156" ht="12">
      <c r="A156" s="34" t="s">
        <v>517</v>
      </c>
    </row>
    <row r="157" ht="12">
      <c r="A157" s="34" t="s">
        <v>518</v>
      </c>
    </row>
    <row r="158" ht="12">
      <c r="A158" s="34" t="s">
        <v>519</v>
      </c>
    </row>
    <row r="159" ht="12">
      <c r="A159" s="34" t="s">
        <v>520</v>
      </c>
    </row>
    <row r="160" spans="1:4" ht="18">
      <c r="A160" s="36" t="s">
        <v>521</v>
      </c>
      <c r="D160" s="76" t="s">
        <v>522</v>
      </c>
    </row>
    <row r="161" spans="1:6" ht="12">
      <c r="A161" t="s">
        <v>523</v>
      </c>
      <c r="B161" s="17">
        <v>1</v>
      </c>
      <c r="C161" s="18"/>
      <c r="D161" s="77">
        <f>B161*0.07*SUM(D31:D52)</f>
        <v>0.17500000000000002</v>
      </c>
      <c r="E161" s="78" t="s">
        <v>615</v>
      </c>
      <c r="F161" t="s">
        <v>524</v>
      </c>
    </row>
    <row r="162" spans="1:6" ht="12">
      <c r="A162" s="44" t="s">
        <v>525</v>
      </c>
      <c r="B162" s="17">
        <v>1</v>
      </c>
      <c r="C162" s="18"/>
      <c r="D162" s="77">
        <f>B162*0.1*(SUM(D31:D52)-D161)</f>
        <v>0.23250000000000004</v>
      </c>
      <c r="E162" s="78" t="s">
        <v>615</v>
      </c>
      <c r="F162" t="s">
        <v>526</v>
      </c>
    </row>
    <row r="163" spans="1:6" ht="12">
      <c r="A163" s="44" t="s">
        <v>527</v>
      </c>
      <c r="B163" s="17">
        <v>1</v>
      </c>
      <c r="C163" s="18"/>
      <c r="D163" s="77">
        <f>B163*0.1*(SUM(D31:D52)-SUM(D161:D162))</f>
        <v>0.20925</v>
      </c>
      <c r="E163" s="78" t="s">
        <v>615</v>
      </c>
      <c r="F163" t="s">
        <v>528</v>
      </c>
    </row>
    <row r="164" spans="1:6" ht="12">
      <c r="A164" s="44" t="s">
        <v>529</v>
      </c>
      <c r="B164" s="17">
        <v>1</v>
      </c>
      <c r="C164" s="18"/>
      <c r="D164" s="77">
        <f>B164*0.1*(SUM(D31:D52)-SUM(D161:D163))</f>
        <v>0.188325</v>
      </c>
      <c r="E164" s="78" t="s">
        <v>615</v>
      </c>
      <c r="F164" t="s">
        <v>528</v>
      </c>
    </row>
    <row r="165" spans="1:6" ht="12">
      <c r="A165" t="s">
        <v>530</v>
      </c>
      <c r="B165" s="17">
        <v>1</v>
      </c>
      <c r="D165" s="79">
        <f>B165*(SUM(D31:D52)-SUM(D161:D164))*0.1</f>
        <v>0.16949250000000002</v>
      </c>
      <c r="E165" s="80" t="s">
        <v>615</v>
      </c>
      <c r="F165" t="s">
        <v>528</v>
      </c>
    </row>
    <row r="166" spans="1:6" ht="12">
      <c r="A166" s="44" t="s">
        <v>531</v>
      </c>
      <c r="B166" s="17">
        <v>0</v>
      </c>
      <c r="C166" s="18"/>
      <c r="D166" s="77">
        <f>B166*0.3*(SUM(D31:D52)-SUM(D161:D165))</f>
        <v>0</v>
      </c>
      <c r="E166" s="78" t="s">
        <v>615</v>
      </c>
      <c r="F166" t="s">
        <v>532</v>
      </c>
    </row>
    <row r="167" spans="1:6" ht="12">
      <c r="A167" t="s">
        <v>496</v>
      </c>
      <c r="B167" s="17">
        <v>1</v>
      </c>
      <c r="D167" s="79">
        <f>MAX(0,B167*(SUM(D31:D52)-SUM(D161:D166))*(1-(B17/800)))</f>
        <v>1.5254325</v>
      </c>
      <c r="E167" s="80" t="s">
        <v>615</v>
      </c>
      <c r="F167" t="s">
        <v>497</v>
      </c>
    </row>
    <row r="168" spans="1:6" ht="12">
      <c r="A168" t="s">
        <v>498</v>
      </c>
      <c r="B168" s="17">
        <v>10</v>
      </c>
      <c r="D168" s="79">
        <f>B168*SUM(D60:D61)/100</f>
        <v>0</v>
      </c>
      <c r="E168" s="80" t="s">
        <v>615</v>
      </c>
      <c r="F168" t="s">
        <v>499</v>
      </c>
    </row>
    <row r="169" spans="1:6" ht="12">
      <c r="A169" t="s">
        <v>500</v>
      </c>
      <c r="B169" s="17">
        <v>0</v>
      </c>
      <c r="D169" s="79" t="e">
        <f>B169*(SUM(D60:D61)-D168)*(1-(83/B17))</f>
        <v>#DIV/0!</v>
      </c>
      <c r="E169" s="80" t="s">
        <v>615</v>
      </c>
      <c r="F169" t="s">
        <v>501</v>
      </c>
    </row>
    <row r="170" spans="1:6" ht="12">
      <c r="A170" t="s">
        <v>502</v>
      </c>
      <c r="B170" s="17">
        <v>10</v>
      </c>
      <c r="D170" s="79">
        <f>B170*SUM(D67:D99)/100</f>
        <v>0</v>
      </c>
      <c r="E170" s="80" t="s">
        <v>615</v>
      </c>
      <c r="F170" t="s">
        <v>503</v>
      </c>
    </row>
    <row r="171" spans="1:6" ht="12">
      <c r="A171" t="s">
        <v>504</v>
      </c>
      <c r="B171" s="17">
        <v>20</v>
      </c>
      <c r="D171" s="79">
        <f>B171*0.7*SUM(D67:D99)/100</f>
        <v>0</v>
      </c>
      <c r="E171" s="80" t="s">
        <v>615</v>
      </c>
      <c r="F171" t="s">
        <v>505</v>
      </c>
    </row>
    <row r="172" spans="1:6" ht="12">
      <c r="A172" t="s">
        <v>506</v>
      </c>
      <c r="B172" s="17">
        <v>20</v>
      </c>
      <c r="D172" s="79">
        <f>B172*SUM(D67:D99)*(1-B17/800)/100</f>
        <v>0</v>
      </c>
      <c r="E172" s="80" t="s">
        <v>615</v>
      </c>
      <c r="F172" t="s">
        <v>507</v>
      </c>
    </row>
    <row r="173" spans="1:6" ht="12">
      <c r="A173" t="s">
        <v>508</v>
      </c>
      <c r="B173" s="17">
        <v>0</v>
      </c>
      <c r="D173" s="79">
        <f>MAX(0,(B173*SUM(D67:D99)*(1-B17/800))-SUM(D170:D172))</f>
        <v>0</v>
      </c>
      <c r="E173" s="80" t="s">
        <v>615</v>
      </c>
      <c r="F173" t="s">
        <v>509</v>
      </c>
    </row>
    <row r="174" spans="1:6" ht="12">
      <c r="A174" t="s">
        <v>510</v>
      </c>
      <c r="B174" s="17">
        <v>100</v>
      </c>
      <c r="D174" s="81">
        <f>MAX(0,B174*SUM(D116:D124)/100)</f>
        <v>0</v>
      </c>
      <c r="E174" s="82" t="s">
        <v>615</v>
      </c>
      <c r="F174" t="s">
        <v>511</v>
      </c>
    </row>
    <row r="175" spans="1:6" ht="12">
      <c r="A175" s="14" t="s">
        <v>512</v>
      </c>
      <c r="B175" s="17">
        <v>10</v>
      </c>
      <c r="D175" s="81">
        <f>B175*150*B17/1000</f>
        <v>0</v>
      </c>
      <c r="E175" s="82" t="s">
        <v>615</v>
      </c>
      <c r="F175" t="s">
        <v>475</v>
      </c>
    </row>
    <row r="176" spans="1:5" ht="12">
      <c r="A176" t="s">
        <v>476</v>
      </c>
      <c r="D176" s="17"/>
      <c r="E176" s="3" t="s">
        <v>615</v>
      </c>
    </row>
    <row r="178" spans="1:6" ht="18">
      <c r="A178" s="62" t="s">
        <v>477</v>
      </c>
      <c r="B178" s="83"/>
      <c r="C178" s="84"/>
      <c r="D178" s="83" t="e">
        <f>MIN(SUM(D161:D176),D129)</f>
        <v>#DIV/0!</v>
      </c>
      <c r="E178" s="84" t="s">
        <v>615</v>
      </c>
      <c r="F178" s="85"/>
    </row>
    <row r="179" spans="1:6" ht="18">
      <c r="A179" s="62" t="s">
        <v>478</v>
      </c>
      <c r="B179" s="86" t="e">
        <f>100*D178/D129</f>
        <v>#DIV/0!</v>
      </c>
      <c r="C179" s="84" t="s">
        <v>479</v>
      </c>
      <c r="D179" s="86"/>
      <c r="E179" s="84"/>
      <c r="F179" s="85"/>
    </row>
    <row r="181" spans="1:7" ht="18">
      <c r="A181" s="349" t="s">
        <v>480</v>
      </c>
      <c r="B181" s="349"/>
      <c r="C181" s="349"/>
      <c r="D181" s="83" t="e">
        <f>D129-D178</f>
        <v>#DIV/0!</v>
      </c>
      <c r="E181" s="87" t="s">
        <v>615</v>
      </c>
      <c r="F181" s="84"/>
      <c r="G181" t="s">
        <v>481</v>
      </c>
    </row>
    <row r="183" spans="1:6" s="93" customFormat="1" ht="22.5">
      <c r="A183" s="88" t="s">
        <v>482</v>
      </c>
      <c r="B183" s="89"/>
      <c r="C183" s="89"/>
      <c r="D183" s="90"/>
      <c r="E183" s="91"/>
      <c r="F183" s="92"/>
    </row>
    <row r="184" spans="1:11" s="93" customFormat="1" ht="12">
      <c r="A184"/>
      <c r="B184" s="1"/>
      <c r="C184" s="1"/>
      <c r="D184" s="2"/>
      <c r="E184" s="3"/>
      <c r="F184"/>
      <c r="G184"/>
      <c r="H184"/>
      <c r="I184"/>
      <c r="J184"/>
      <c r="K184"/>
    </row>
    <row r="185" spans="1:16" ht="18">
      <c r="A185" s="354" t="s">
        <v>483</v>
      </c>
      <c r="B185" s="354"/>
      <c r="C185" s="354"/>
      <c r="D185" s="354"/>
      <c r="E185" s="354"/>
      <c r="F185" s="26" t="e">
        <f>D178/30</f>
        <v>#DIV/0!</v>
      </c>
      <c r="G185" s="353" t="s">
        <v>484</v>
      </c>
      <c r="H185" s="353"/>
      <c r="I185" s="353"/>
      <c r="J185" s="353"/>
      <c r="K185" s="353"/>
      <c r="L185" s="353"/>
      <c r="M185" s="353"/>
      <c r="N185" s="353"/>
      <c r="O185" s="353"/>
      <c r="P185" s="353"/>
    </row>
    <row r="186" ht="19.5" customHeight="1">
      <c r="F186" s="94"/>
    </row>
    <row r="187" spans="1:7" ht="22.5">
      <c r="A187" s="62" t="s">
        <v>485</v>
      </c>
      <c r="B187" s="95"/>
      <c r="C187" s="96"/>
      <c r="D187" s="97"/>
      <c r="E187" s="84"/>
      <c r="F187" s="98"/>
      <c r="G187" s="14" t="s">
        <v>486</v>
      </c>
    </row>
    <row r="188" spans="1:7" ht="22.5">
      <c r="A188" s="62" t="s">
        <v>487</v>
      </c>
      <c r="B188" s="86" t="e">
        <f>B179*B15/100</f>
        <v>#DIV/0!</v>
      </c>
      <c r="C188" s="96" t="s">
        <v>488</v>
      </c>
      <c r="D188" s="97"/>
      <c r="E188" s="84"/>
      <c r="F188" s="98"/>
      <c r="G188" t="s">
        <v>486</v>
      </c>
    </row>
    <row r="189" ht="3" customHeight="1">
      <c r="F189" s="94"/>
    </row>
    <row r="190" spans="1:7" ht="22.5">
      <c r="A190" s="62" t="s">
        <v>489</v>
      </c>
      <c r="B190" s="99"/>
      <c r="C190" s="99"/>
      <c r="D190" s="97"/>
      <c r="E190" s="84"/>
      <c r="F190" s="27" t="e">
        <f>B188*30</f>
        <v>#DIV/0!</v>
      </c>
      <c r="G190" t="s">
        <v>490</v>
      </c>
    </row>
    <row r="191" ht="3" customHeight="1">
      <c r="F191" s="94"/>
    </row>
    <row r="192" spans="1:7" ht="22.5">
      <c r="A192" s="62" t="s">
        <v>491</v>
      </c>
      <c r="B192" s="99"/>
      <c r="C192" s="99"/>
      <c r="D192" s="97"/>
      <c r="E192" s="351" t="e">
        <f>B188*3000</f>
        <v>#DIV/0!</v>
      </c>
      <c r="F192" s="351"/>
      <c r="G192" t="s">
        <v>492</v>
      </c>
    </row>
    <row r="194" spans="1:6" ht="22.5">
      <c r="A194" s="100" t="s">
        <v>493</v>
      </c>
      <c r="B194" s="101"/>
      <c r="C194" s="101"/>
      <c r="D194" s="102"/>
      <c r="E194" s="103"/>
      <c r="F194" s="104"/>
    </row>
    <row r="196" ht="12">
      <c r="A196" t="s">
        <v>494</v>
      </c>
    </row>
    <row r="197" ht="12">
      <c r="A197" t="s">
        <v>495</v>
      </c>
    </row>
    <row r="198" ht="12">
      <c r="A198" t="s">
        <v>461</v>
      </c>
    </row>
    <row r="199" ht="12">
      <c r="A199" t="s">
        <v>462</v>
      </c>
    </row>
    <row r="200" ht="12">
      <c r="A200" t="s">
        <v>463</v>
      </c>
    </row>
    <row r="201" ht="12">
      <c r="A201" t="s">
        <v>464</v>
      </c>
    </row>
    <row r="202" ht="12">
      <c r="A202" t="s">
        <v>465</v>
      </c>
    </row>
    <row r="203" ht="12">
      <c r="A203" t="s">
        <v>466</v>
      </c>
    </row>
    <row r="204" spans="1:3" ht="12">
      <c r="A204" t="s">
        <v>467</v>
      </c>
      <c r="B204" s="17"/>
      <c r="C204" s="18" t="s">
        <v>468</v>
      </c>
    </row>
    <row r="205" spans="1:5" ht="12">
      <c r="A205" t="s">
        <v>469</v>
      </c>
      <c r="B205" s="2"/>
      <c r="C205" s="18"/>
      <c r="D205" s="105">
        <f>B16*15</f>
        <v>0</v>
      </c>
      <c r="E205" s="106" t="s">
        <v>470</v>
      </c>
    </row>
    <row r="206" spans="1:3" ht="12">
      <c r="A206" t="s">
        <v>471</v>
      </c>
      <c r="B206" s="17" t="s">
        <v>472</v>
      </c>
      <c r="C206" s="18" t="s">
        <v>473</v>
      </c>
    </row>
    <row r="207" spans="1:5" ht="12">
      <c r="A207" t="s">
        <v>474</v>
      </c>
      <c r="D207" s="105">
        <f>B16/10</f>
        <v>0</v>
      </c>
      <c r="E207" s="106" t="s">
        <v>441</v>
      </c>
    </row>
    <row r="209" spans="1:7" ht="18">
      <c r="A209" s="71" t="s">
        <v>442</v>
      </c>
      <c r="B209" s="72"/>
      <c r="C209" s="107">
        <f>B204*0.1</f>
        <v>0</v>
      </c>
      <c r="D209" s="108" t="s">
        <v>443</v>
      </c>
      <c r="E209" s="356"/>
      <c r="F209" s="356"/>
      <c r="G209" t="s">
        <v>444</v>
      </c>
    </row>
    <row r="210" ht="3" customHeight="1">
      <c r="C210" s="109"/>
    </row>
    <row r="211" spans="1:7" ht="18">
      <c r="A211" s="71" t="s">
        <v>445</v>
      </c>
      <c r="B211" s="72"/>
      <c r="C211" s="107" t="str">
        <f>B206</f>
        <v>1000 kgs of CO2 per person / anno in the short term 500 kgs of CO2 per person / anno in the long term </v>
      </c>
      <c r="D211" s="108" t="s">
        <v>443</v>
      </c>
      <c r="E211" s="356"/>
      <c r="F211" s="356"/>
      <c r="G211" t="s">
        <v>446</v>
      </c>
    </row>
    <row r="212" ht="24.75" customHeight="1">
      <c r="C212" s="109"/>
    </row>
    <row r="213" spans="1:7" ht="18">
      <c r="A213" s="71" t="s">
        <v>447</v>
      </c>
      <c r="B213" s="72"/>
      <c r="C213" s="107">
        <f>B204*0.0035</f>
        <v>0</v>
      </c>
      <c r="D213" s="357" t="s">
        <v>448</v>
      </c>
      <c r="E213" s="357"/>
      <c r="F213" s="357"/>
      <c r="G213" t="s">
        <v>449</v>
      </c>
    </row>
    <row r="214" ht="3" customHeight="1">
      <c r="C214" s="109"/>
    </row>
    <row r="215" spans="1:7" ht="18">
      <c r="A215" s="71" t="s">
        <v>450</v>
      </c>
      <c r="B215" s="72"/>
      <c r="C215" s="107" t="e">
        <f>B206*11.9</f>
        <v>#VALUE!</v>
      </c>
      <c r="D215" s="357" t="s">
        <v>448</v>
      </c>
      <c r="E215" s="357"/>
      <c r="F215" s="357"/>
      <c r="G215" t="s">
        <v>451</v>
      </c>
    </row>
    <row r="216" ht="24.75" customHeight="1"/>
    <row r="217" spans="1:7" ht="18">
      <c r="A217" s="71" t="s">
        <v>452</v>
      </c>
      <c r="B217" s="72"/>
      <c r="C217" s="72"/>
      <c r="D217" s="110">
        <f>(5*C213*B17/1000)-(4*C213*0.7)</f>
        <v>0</v>
      </c>
      <c r="E217" s="356" t="s">
        <v>453</v>
      </c>
      <c r="F217" s="356"/>
      <c r="G217" t="s">
        <v>454</v>
      </c>
    </row>
    <row r="218" ht="3" customHeight="1"/>
    <row r="219" spans="1:7" ht="18">
      <c r="A219" s="354" t="s">
        <v>455</v>
      </c>
      <c r="B219" s="354"/>
      <c r="C219" s="354"/>
      <c r="D219" s="110" t="e">
        <f>MIN(C215*B17/1000,C19)</f>
        <v>#VALUE!</v>
      </c>
      <c r="E219" s="356" t="s">
        <v>453</v>
      </c>
      <c r="F219" s="356"/>
      <c r="G219" t="s">
        <v>456</v>
      </c>
    </row>
    <row r="220" ht="10.5" customHeight="1">
      <c r="A220" t="s">
        <v>457</v>
      </c>
    </row>
    <row r="221" spans="1:5" s="111" customFormat="1" ht="12">
      <c r="A221" s="111" t="s">
        <v>458</v>
      </c>
      <c r="B221" s="112"/>
      <c r="C221" s="112"/>
      <c r="D221" s="113"/>
      <c r="E221" s="114"/>
    </row>
    <row r="222" spans="2:5" s="111" customFormat="1" ht="12">
      <c r="B222" s="112"/>
      <c r="C222" s="112"/>
      <c r="D222" s="113"/>
      <c r="E222" s="114"/>
    </row>
    <row r="223" spans="1:7" ht="18">
      <c r="A223" s="71" t="s">
        <v>459</v>
      </c>
      <c r="B223" s="71"/>
      <c r="C223" s="115" t="e">
        <f>100*((D217+D219)/C19)*(SUM(D60:D61)/D129)</f>
        <v>#VALUE!</v>
      </c>
      <c r="D223" s="108" t="s">
        <v>479</v>
      </c>
      <c r="E223" s="116"/>
      <c r="F223" s="75"/>
      <c r="G223" t="s">
        <v>460</v>
      </c>
    </row>
    <row r="224" ht="12">
      <c r="A224" s="117" t="s">
        <v>422</v>
      </c>
    </row>
    <row r="225" ht="12">
      <c r="A225" s="117" t="s">
        <v>423</v>
      </c>
    </row>
    <row r="226" ht="12">
      <c r="A226" t="s">
        <v>424</v>
      </c>
    </row>
    <row r="228" spans="1:6" ht="22.5">
      <c r="A228" s="71" t="s">
        <v>425</v>
      </c>
      <c r="B228" s="72"/>
      <c r="C228" s="72"/>
      <c r="D228" s="118"/>
      <c r="E228" s="356"/>
      <c r="F228" s="356"/>
    </row>
    <row r="229" spans="1:7" ht="18">
      <c r="A229" s="349" t="s">
        <v>426</v>
      </c>
      <c r="B229" s="349"/>
      <c r="C229" s="349"/>
      <c r="D229" s="26" t="e">
        <f>MAX(D129-D178-(C223*D129/100),0)</f>
        <v>#DIV/0!</v>
      </c>
      <c r="E229" s="116" t="s">
        <v>615</v>
      </c>
      <c r="F229" s="75"/>
      <c r="G229" t="s">
        <v>427</v>
      </c>
    </row>
    <row r="230" spans="1:6" ht="18">
      <c r="A230" s="71" t="s">
        <v>428</v>
      </c>
      <c r="B230" s="71"/>
      <c r="C230" s="72"/>
      <c r="D230" s="26" t="e">
        <f>MAX(D129-D178-(C223*C133),0)/C133</f>
        <v>#DIV/0!</v>
      </c>
      <c r="E230" s="116" t="s">
        <v>615</v>
      </c>
      <c r="F230" s="75"/>
    </row>
    <row r="231" spans="1:6" ht="18">
      <c r="A231" s="71" t="s">
        <v>429</v>
      </c>
      <c r="B231" s="71"/>
      <c r="C231" s="72"/>
      <c r="D231" s="26" t="e">
        <f>C223+B179</f>
        <v>#VALUE!</v>
      </c>
      <c r="E231" s="116" t="s">
        <v>430</v>
      </c>
      <c r="F231" s="75"/>
    </row>
    <row r="233" spans="1:6" ht="18">
      <c r="A233" s="349" t="s">
        <v>431</v>
      </c>
      <c r="B233" s="349"/>
      <c r="C233" s="86" t="s">
        <v>432</v>
      </c>
      <c r="D233" s="84" t="s">
        <v>433</v>
      </c>
      <c r="E233" s="85"/>
      <c r="F233" s="85"/>
    </row>
    <row r="234" spans="1:3" ht="12">
      <c r="A234" s="36" t="s">
        <v>434</v>
      </c>
      <c r="B234" s="66"/>
      <c r="C234" s="67"/>
    </row>
    <row r="235" ht="12">
      <c r="A235" t="s">
        <v>435</v>
      </c>
    </row>
    <row r="236" ht="12">
      <c r="A236" t="s">
        <v>436</v>
      </c>
    </row>
    <row r="238" spans="1:6" ht="18">
      <c r="A238" s="71" t="s">
        <v>437</v>
      </c>
      <c r="B238" s="119"/>
      <c r="C238" s="119"/>
      <c r="D238" s="120"/>
      <c r="E238" s="116"/>
      <c r="F238" s="71"/>
    </row>
    <row r="240" ht="12">
      <c r="A240" t="s">
        <v>438</v>
      </c>
    </row>
    <row r="241" ht="12">
      <c r="A241" t="s">
        <v>439</v>
      </c>
    </row>
    <row r="243" ht="12">
      <c r="A243" t="s">
        <v>440</v>
      </c>
    </row>
    <row r="245" ht="12">
      <c r="A245" s="121" t="s">
        <v>342</v>
      </c>
    </row>
    <row r="246" spans="1:3" ht="12" customHeight="1">
      <c r="A246" s="358" t="s">
        <v>343</v>
      </c>
      <c r="B246" s="358"/>
      <c r="C246" s="358"/>
    </row>
    <row r="247" ht="12" customHeight="1">
      <c r="A247" s="68" t="s">
        <v>344</v>
      </c>
    </row>
    <row r="248" ht="12">
      <c r="A248" s="68"/>
    </row>
    <row r="249" ht="12">
      <c r="A249" s="67" t="s">
        <v>345</v>
      </c>
    </row>
    <row r="250" ht="12">
      <c r="A250" s="67" t="s">
        <v>346</v>
      </c>
    </row>
    <row r="251" ht="12">
      <c r="A251" s="67" t="s">
        <v>347</v>
      </c>
    </row>
    <row r="252" ht="12">
      <c r="A252" s="67" t="s">
        <v>348</v>
      </c>
    </row>
  </sheetData>
  <mergeCells count="34">
    <mergeCell ref="A233:B233"/>
    <mergeCell ref="A246:C246"/>
    <mergeCell ref="A219:C219"/>
    <mergeCell ref="E219:F219"/>
    <mergeCell ref="E228:F228"/>
    <mergeCell ref="A229:C229"/>
    <mergeCell ref="E211:F211"/>
    <mergeCell ref="D213:F213"/>
    <mergeCell ref="D215:F215"/>
    <mergeCell ref="E217:F217"/>
    <mergeCell ref="A185:E185"/>
    <mergeCell ref="G185:P185"/>
    <mergeCell ref="E192:F192"/>
    <mergeCell ref="E209:F209"/>
    <mergeCell ref="A131:E131"/>
    <mergeCell ref="A137:F137"/>
    <mergeCell ref="B139:F139"/>
    <mergeCell ref="A181:C181"/>
    <mergeCell ref="F120:K120"/>
    <mergeCell ref="F121:K121"/>
    <mergeCell ref="F122:K122"/>
    <mergeCell ref="A127:E127"/>
    <mergeCell ref="F114:K114"/>
    <mergeCell ref="F117:G117"/>
    <mergeCell ref="F118:K118"/>
    <mergeCell ref="F119:K119"/>
    <mergeCell ref="A23:D23"/>
    <mergeCell ref="E23:F23"/>
    <mergeCell ref="G23:K23"/>
    <mergeCell ref="A112:E112"/>
    <mergeCell ref="E2:F12"/>
    <mergeCell ref="A19:B19"/>
    <mergeCell ref="A21:E21"/>
    <mergeCell ref="G21:K21"/>
  </mergeCells>
  <printOptions gridLines="1"/>
  <pageMargins left="0.5" right="0.5" top="0.5" bottom="0.5" header="0.5118055555555556" footer="0.5118055555555556"/>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F23"/>
  <sheetViews>
    <sheetView zoomScale="150" zoomScaleNormal="150" workbookViewId="0" topLeftCell="A1">
      <selection activeCell="E6" sqref="E6"/>
    </sheetView>
  </sheetViews>
  <sheetFormatPr defaultColWidth="11.421875" defaultRowHeight="12.75"/>
  <sheetData>
    <row r="1" spans="1:3" ht="12">
      <c r="A1" s="359" t="s">
        <v>349</v>
      </c>
      <c r="B1" s="359"/>
      <c r="C1" s="359"/>
    </row>
    <row r="3" spans="1:2" ht="12">
      <c r="A3" t="s">
        <v>350</v>
      </c>
      <c r="B3">
        <v>83</v>
      </c>
    </row>
    <row r="4" spans="1:2" ht="12">
      <c r="A4" t="s">
        <v>351</v>
      </c>
      <c r="B4">
        <v>87</v>
      </c>
    </row>
    <row r="5" spans="1:2" ht="12">
      <c r="A5" t="s">
        <v>352</v>
      </c>
      <c r="B5">
        <v>220</v>
      </c>
    </row>
    <row r="6" spans="1:2" ht="12">
      <c r="A6" t="s">
        <v>353</v>
      </c>
      <c r="B6">
        <v>250</v>
      </c>
    </row>
    <row r="7" spans="1:2" ht="12">
      <c r="A7" t="s">
        <v>354</v>
      </c>
      <c r="B7">
        <v>335</v>
      </c>
    </row>
    <row r="8" spans="1:2" ht="12">
      <c r="A8" t="s">
        <v>355</v>
      </c>
      <c r="B8">
        <v>353</v>
      </c>
    </row>
    <row r="9" spans="1:2" ht="12">
      <c r="A9" t="s">
        <v>356</v>
      </c>
      <c r="B9">
        <v>399</v>
      </c>
    </row>
    <row r="10" spans="1:2" ht="12">
      <c r="A10" t="s">
        <v>357</v>
      </c>
      <c r="B10">
        <v>408</v>
      </c>
    </row>
    <row r="11" spans="1:2" ht="12">
      <c r="A11" t="s">
        <v>358</v>
      </c>
      <c r="B11">
        <v>483</v>
      </c>
    </row>
    <row r="12" spans="1:2" ht="12">
      <c r="A12" t="s">
        <v>359</v>
      </c>
      <c r="B12">
        <v>525</v>
      </c>
    </row>
    <row r="13" spans="1:2" ht="12">
      <c r="A13" t="s">
        <v>360</v>
      </c>
      <c r="B13">
        <v>580</v>
      </c>
    </row>
    <row r="14" spans="1:2" ht="12">
      <c r="A14" t="s">
        <v>361</v>
      </c>
      <c r="B14">
        <v>590</v>
      </c>
    </row>
    <row r="15" spans="1:2" ht="12">
      <c r="A15" t="s">
        <v>362</v>
      </c>
      <c r="B15">
        <v>601</v>
      </c>
    </row>
    <row r="16" spans="1:2" ht="12">
      <c r="A16" t="s">
        <v>363</v>
      </c>
      <c r="B16">
        <v>613</v>
      </c>
    </row>
    <row r="17" spans="1:2" ht="12">
      <c r="A17" t="s">
        <v>364</v>
      </c>
      <c r="B17">
        <v>652</v>
      </c>
    </row>
    <row r="18" spans="1:2" ht="12">
      <c r="A18" t="s">
        <v>365</v>
      </c>
      <c r="B18">
        <v>667</v>
      </c>
    </row>
    <row r="19" spans="1:2" ht="12">
      <c r="A19" t="s">
        <v>366</v>
      </c>
      <c r="B19">
        <v>784</v>
      </c>
    </row>
    <row r="20" spans="1:2" ht="12">
      <c r="A20" t="s">
        <v>367</v>
      </c>
      <c r="B20">
        <v>864</v>
      </c>
    </row>
    <row r="21" spans="1:2" ht="12">
      <c r="A21" t="s">
        <v>368</v>
      </c>
      <c r="B21">
        <v>881</v>
      </c>
    </row>
    <row r="23" spans="1:6" ht="12">
      <c r="A23" s="360" t="s">
        <v>369</v>
      </c>
      <c r="B23" s="360"/>
      <c r="C23" s="360"/>
      <c r="D23" s="360"/>
      <c r="E23" s="360"/>
      <c r="F23" s="360"/>
    </row>
  </sheetData>
  <mergeCells count="2">
    <mergeCell ref="A1:C1"/>
    <mergeCell ref="A23:F23"/>
  </mergeCells>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R78"/>
  <sheetViews>
    <sheetView zoomScale="150" zoomScaleNormal="150" workbookViewId="0" topLeftCell="A58">
      <selection activeCell="A1" sqref="A1"/>
    </sheetView>
  </sheetViews>
  <sheetFormatPr defaultColWidth="11.421875" defaultRowHeight="12.75"/>
  <sheetData>
    <row r="1" spans="1:18" ht="12">
      <c r="A1" s="123" t="s">
        <v>370</v>
      </c>
      <c r="B1" s="124"/>
      <c r="C1" s="124"/>
      <c r="D1" s="124"/>
      <c r="E1" s="124"/>
      <c r="F1" s="124"/>
      <c r="G1" s="124"/>
      <c r="H1" s="125"/>
      <c r="I1" s="126" t="s">
        <v>371</v>
      </c>
      <c r="J1" s="127"/>
      <c r="K1" s="128" t="s">
        <v>372</v>
      </c>
      <c r="L1" s="124"/>
      <c r="M1" s="124"/>
      <c r="N1" s="129"/>
      <c r="O1" s="130"/>
      <c r="P1" s="131"/>
      <c r="Q1" s="131"/>
      <c r="R1" s="127"/>
    </row>
    <row r="2" spans="1:18" ht="12">
      <c r="A2" s="132" t="s">
        <v>373</v>
      </c>
      <c r="B2" s="122" t="s">
        <v>374</v>
      </c>
      <c r="C2" s="133"/>
      <c r="D2" s="134" t="s">
        <v>375</v>
      </c>
      <c r="E2" s="135"/>
      <c r="F2" s="127"/>
      <c r="G2" s="136" t="s">
        <v>376</v>
      </c>
      <c r="H2" s="135"/>
      <c r="I2" s="137"/>
      <c r="J2" s="138"/>
      <c r="K2" s="132" t="s">
        <v>373</v>
      </c>
      <c r="L2" s="139"/>
      <c r="M2" s="139"/>
      <c r="N2" s="361" t="s">
        <v>376</v>
      </c>
      <c r="O2" s="361"/>
      <c r="P2" s="361"/>
      <c r="Q2" s="361"/>
      <c r="R2" s="140"/>
    </row>
    <row r="3" spans="1:18" ht="12">
      <c r="A3" s="141"/>
      <c r="B3" s="138" t="s">
        <v>377</v>
      </c>
      <c r="C3" s="142" t="s">
        <v>378</v>
      </c>
      <c r="D3" s="138"/>
      <c r="E3" s="143" t="s">
        <v>379</v>
      </c>
      <c r="F3" s="140"/>
      <c r="G3" s="144"/>
      <c r="H3" s="145"/>
      <c r="I3" s="146"/>
      <c r="J3" s="144"/>
      <c r="K3" s="140"/>
      <c r="L3" s="144"/>
      <c r="M3" s="144"/>
      <c r="N3" s="147"/>
      <c r="O3" s="148"/>
      <c r="P3" s="148"/>
      <c r="Q3" s="149"/>
      <c r="R3" s="140"/>
    </row>
    <row r="4" spans="1:18" ht="12">
      <c r="A4" s="141"/>
      <c r="B4" s="144"/>
      <c r="C4" s="150"/>
      <c r="D4" s="144"/>
      <c r="E4" s="145"/>
      <c r="F4" s="140"/>
      <c r="G4" s="144"/>
      <c r="H4" s="145"/>
      <c r="I4" s="151"/>
      <c r="J4" s="144"/>
      <c r="K4" s="140"/>
      <c r="L4" s="144"/>
      <c r="M4" s="144"/>
      <c r="N4" s="147"/>
      <c r="O4" s="148"/>
      <c r="P4" s="148"/>
      <c r="Q4" s="149"/>
      <c r="R4" s="140"/>
    </row>
    <row r="5" spans="1:18" ht="24">
      <c r="A5" s="152" t="s">
        <v>380</v>
      </c>
      <c r="B5" s="153"/>
      <c r="C5" s="154"/>
      <c r="D5" s="155"/>
      <c r="E5" s="156"/>
      <c r="F5" s="157" t="s">
        <v>381</v>
      </c>
      <c r="G5" s="158" t="s">
        <v>382</v>
      </c>
      <c r="H5" s="159"/>
      <c r="I5" s="160"/>
      <c r="J5" s="161"/>
      <c r="K5" s="162"/>
      <c r="L5" s="153"/>
      <c r="M5" s="153"/>
      <c r="N5" s="163"/>
      <c r="O5" s="164"/>
      <c r="P5" s="164"/>
      <c r="Q5" s="165"/>
      <c r="R5" s="166"/>
    </row>
    <row r="6" spans="1:18" ht="12">
      <c r="A6" s="167" t="s">
        <v>383</v>
      </c>
      <c r="B6" s="168"/>
      <c r="C6" s="169"/>
      <c r="D6" s="170"/>
      <c r="E6" s="171"/>
      <c r="F6" s="172">
        <v>0.117</v>
      </c>
      <c r="G6" s="173">
        <v>0.43</v>
      </c>
      <c r="H6" s="174"/>
      <c r="I6" s="175"/>
      <c r="J6" s="148"/>
      <c r="K6" s="140"/>
      <c r="L6" s="144"/>
      <c r="M6" s="144"/>
      <c r="N6" s="147"/>
      <c r="O6" s="148"/>
      <c r="P6" s="148"/>
      <c r="Q6" s="149"/>
      <c r="R6" s="166"/>
    </row>
    <row r="7" spans="1:18" ht="24">
      <c r="A7" s="176" t="s">
        <v>384</v>
      </c>
      <c r="B7" s="144"/>
      <c r="C7" s="142"/>
      <c r="D7" s="138"/>
      <c r="E7" s="177"/>
      <c r="F7" s="178"/>
      <c r="G7" s="161" t="s">
        <v>385</v>
      </c>
      <c r="H7" s="149"/>
      <c r="I7" s="175"/>
      <c r="J7" s="148"/>
      <c r="K7" s="140"/>
      <c r="L7" s="144"/>
      <c r="M7" s="144"/>
      <c r="N7" s="147"/>
      <c r="O7" s="148"/>
      <c r="P7" s="148"/>
      <c r="Q7" s="149"/>
      <c r="R7" s="166"/>
    </row>
    <row r="8" spans="1:18" ht="12">
      <c r="A8" s="167" t="s">
        <v>386</v>
      </c>
      <c r="B8" s="144"/>
      <c r="C8" s="169"/>
      <c r="D8" s="170"/>
      <c r="E8" s="171"/>
      <c r="F8" s="172">
        <v>0.0453</v>
      </c>
      <c r="G8" s="173">
        <v>0.1661</v>
      </c>
      <c r="H8" s="149"/>
      <c r="I8" s="175"/>
      <c r="J8" s="148"/>
      <c r="K8" s="140"/>
      <c r="L8" s="144"/>
      <c r="M8" s="144"/>
      <c r="N8" s="147"/>
      <c r="O8" s="148"/>
      <c r="P8" s="148"/>
      <c r="Q8" s="149"/>
      <c r="R8" s="166"/>
    </row>
    <row r="9" spans="1:18" ht="12">
      <c r="A9" s="141"/>
      <c r="B9" s="144"/>
      <c r="C9" s="179"/>
      <c r="D9" s="144"/>
      <c r="E9" s="145"/>
      <c r="F9" s="140"/>
      <c r="G9" s="144"/>
      <c r="H9" s="180"/>
      <c r="I9" s="181"/>
      <c r="J9" s="144"/>
      <c r="K9" s="182"/>
      <c r="L9" s="168"/>
      <c r="M9" s="168"/>
      <c r="N9" s="183"/>
      <c r="O9" s="184"/>
      <c r="P9" s="184"/>
      <c r="Q9" s="174"/>
      <c r="R9" s="166"/>
    </row>
    <row r="10" spans="1:18" ht="36">
      <c r="A10" s="185" t="s">
        <v>387</v>
      </c>
      <c r="B10" s="158" t="s">
        <v>388</v>
      </c>
      <c r="C10" s="186" t="s">
        <v>388</v>
      </c>
      <c r="D10" s="158" t="s">
        <v>389</v>
      </c>
      <c r="E10" s="159" t="s">
        <v>390</v>
      </c>
      <c r="F10" s="157" t="s">
        <v>381</v>
      </c>
      <c r="G10" s="158" t="s">
        <v>391</v>
      </c>
      <c r="H10" s="187" t="s">
        <v>392</v>
      </c>
      <c r="I10" s="160" t="s">
        <v>393</v>
      </c>
      <c r="J10" s="161"/>
      <c r="K10" s="188" t="s">
        <v>394</v>
      </c>
      <c r="L10" s="189" t="s">
        <v>395</v>
      </c>
      <c r="M10" s="158" t="s">
        <v>396</v>
      </c>
      <c r="N10" s="190" t="s">
        <v>397</v>
      </c>
      <c r="O10" s="191" t="s">
        <v>398</v>
      </c>
      <c r="P10" s="191" t="s">
        <v>399</v>
      </c>
      <c r="Q10" s="192" t="s">
        <v>400</v>
      </c>
      <c r="R10" s="193"/>
    </row>
    <row r="11" spans="1:18" ht="12">
      <c r="A11" s="141" t="s">
        <v>401</v>
      </c>
      <c r="B11" s="148">
        <f>C11*0.95</f>
        <v>7046.15</v>
      </c>
      <c r="C11" s="194">
        <v>7417</v>
      </c>
      <c r="D11" s="195" t="s">
        <v>402</v>
      </c>
      <c r="E11" s="196" t="s">
        <v>402</v>
      </c>
      <c r="F11" s="178">
        <v>0.0817</v>
      </c>
      <c r="G11" s="197">
        <v>0.3</v>
      </c>
      <c r="H11" s="149">
        <f>G11*C11</f>
        <v>2225.1</v>
      </c>
      <c r="I11" s="198">
        <f>H11/1000</f>
        <v>2.2251</v>
      </c>
      <c r="J11" s="148"/>
      <c r="K11" s="140" t="s">
        <v>403</v>
      </c>
      <c r="L11" s="144" t="s">
        <v>404</v>
      </c>
      <c r="M11" s="199">
        <f>O11/N11</f>
        <v>5473.014942320131</v>
      </c>
      <c r="N11" s="147">
        <f>Q11*$L$60</f>
        <v>0.35191527123848515</v>
      </c>
      <c r="O11" s="200">
        <f>P11*$L$56</f>
        <v>1926.037537918871</v>
      </c>
      <c r="P11" s="201">
        <v>3852.16</v>
      </c>
      <c r="Q11" s="202">
        <v>227.4</v>
      </c>
      <c r="R11" s="166"/>
    </row>
    <row r="12" spans="1:18" ht="12">
      <c r="A12" s="141"/>
      <c r="B12" s="148">
        <f>C12*0.95</f>
        <v>0</v>
      </c>
      <c r="C12" s="194"/>
      <c r="D12" s="195"/>
      <c r="E12" s="203"/>
      <c r="F12" s="178"/>
      <c r="G12" s="197"/>
      <c r="H12" s="149"/>
      <c r="I12" s="175"/>
      <c r="J12" s="148"/>
      <c r="K12" s="140" t="s">
        <v>405</v>
      </c>
      <c r="L12" s="144" t="s">
        <v>406</v>
      </c>
      <c r="M12" s="199">
        <f>O12/N12</f>
        <v>7760.420451938961</v>
      </c>
      <c r="N12" s="147">
        <f>Q12*$L$60</f>
        <v>0.31771418287273967</v>
      </c>
      <c r="O12" s="200">
        <f>P12*$L$56</f>
        <v>2465.5956426366843</v>
      </c>
      <c r="P12" s="201">
        <v>4931.3</v>
      </c>
      <c r="Q12" s="202">
        <v>205.3</v>
      </c>
      <c r="R12" s="166"/>
    </row>
    <row r="13" spans="1:18" ht="12">
      <c r="A13" s="141"/>
      <c r="B13" s="148">
        <f>C13*0.95</f>
        <v>0</v>
      </c>
      <c r="C13" s="194"/>
      <c r="D13" s="195"/>
      <c r="E13" s="203"/>
      <c r="F13" s="178"/>
      <c r="G13" s="197"/>
      <c r="H13" s="149"/>
      <c r="I13" s="175"/>
      <c r="J13" s="148"/>
      <c r="K13" s="140" t="s">
        <v>407</v>
      </c>
      <c r="L13" s="144" t="s">
        <v>408</v>
      </c>
      <c r="M13" s="199">
        <f>O13/N13</f>
        <v>5644.289812513838</v>
      </c>
      <c r="N13" s="147">
        <f>Q13*$L$60</f>
        <v>0.329166131013306</v>
      </c>
      <c r="O13" s="200">
        <f>P13*$L$56</f>
        <v>1857.9090399029983</v>
      </c>
      <c r="P13" s="201">
        <v>3715.9</v>
      </c>
      <c r="Q13" s="202">
        <v>212.7</v>
      </c>
      <c r="R13" s="166"/>
    </row>
    <row r="14" spans="1:18" ht="12">
      <c r="A14" s="141"/>
      <c r="B14" s="204"/>
      <c r="C14" s="194"/>
      <c r="D14" s="144"/>
      <c r="E14" s="145"/>
      <c r="F14" s="178"/>
      <c r="G14" s="197"/>
      <c r="H14" s="149"/>
      <c r="I14" s="175"/>
      <c r="J14" s="148"/>
      <c r="K14" s="140" t="s">
        <v>409</v>
      </c>
      <c r="L14" s="144" t="s">
        <v>410</v>
      </c>
      <c r="M14" s="205">
        <f>O14/N14</f>
        <v>4187.166855806596</v>
      </c>
      <c r="N14" s="147">
        <f>Q14*$L$60</f>
        <v>0.3333445445240532</v>
      </c>
      <c r="O14" s="200">
        <f>P14*$L$56</f>
        <v>1395.7692283950616</v>
      </c>
      <c r="P14" s="201">
        <v>2791.6</v>
      </c>
      <c r="Q14" s="202">
        <v>215.4</v>
      </c>
      <c r="R14" s="166"/>
    </row>
    <row r="15" spans="1:18" ht="12">
      <c r="A15" s="141" t="s">
        <v>411</v>
      </c>
      <c r="B15" s="148">
        <f>C15*1</f>
        <v>8445</v>
      </c>
      <c r="C15" s="194">
        <v>8445</v>
      </c>
      <c r="D15" s="195" t="s">
        <v>402</v>
      </c>
      <c r="E15" s="203" t="s">
        <v>402</v>
      </c>
      <c r="F15" s="178">
        <v>0.1013</v>
      </c>
      <c r="G15" s="197">
        <v>0.373</v>
      </c>
      <c r="H15" s="149">
        <f>G15*C15</f>
        <v>3149.985</v>
      </c>
      <c r="I15" s="198">
        <f>H15/1000</f>
        <v>3.149985</v>
      </c>
      <c r="J15" s="148"/>
      <c r="K15" s="140"/>
      <c r="L15" s="144"/>
      <c r="M15" s="199"/>
      <c r="N15" s="147"/>
      <c r="O15" s="200"/>
      <c r="P15" s="201"/>
      <c r="Q15" s="202"/>
      <c r="R15" s="166"/>
    </row>
    <row r="16" spans="1:18" ht="12">
      <c r="A16" s="141"/>
      <c r="B16" s="206"/>
      <c r="C16" s="194"/>
      <c r="D16" s="144"/>
      <c r="E16" s="145"/>
      <c r="F16" s="178"/>
      <c r="G16" s="197"/>
      <c r="H16" s="149"/>
      <c r="I16" s="175"/>
      <c r="J16" s="148"/>
      <c r="K16" s="207"/>
      <c r="L16" s="208"/>
      <c r="M16" s="208"/>
      <c r="N16" s="183"/>
      <c r="O16" s="184"/>
      <c r="P16" s="184"/>
      <c r="Q16" s="174"/>
      <c r="R16" s="166"/>
    </row>
    <row r="17" spans="1:18" ht="36">
      <c r="A17" s="152" t="s">
        <v>412</v>
      </c>
      <c r="B17" s="209" t="s">
        <v>388</v>
      </c>
      <c r="C17" s="186" t="s">
        <v>388</v>
      </c>
      <c r="D17" s="158" t="s">
        <v>389</v>
      </c>
      <c r="E17" s="210" t="s">
        <v>390</v>
      </c>
      <c r="F17" s="157" t="s">
        <v>381</v>
      </c>
      <c r="G17" s="158" t="s">
        <v>391</v>
      </c>
      <c r="H17" s="159" t="s">
        <v>413</v>
      </c>
      <c r="I17" s="211" t="s">
        <v>414</v>
      </c>
      <c r="J17" s="161"/>
      <c r="K17" s="212" t="s">
        <v>415</v>
      </c>
      <c r="L17" s="144"/>
      <c r="M17" s="161" t="s">
        <v>416</v>
      </c>
      <c r="N17" s="213" t="s">
        <v>397</v>
      </c>
      <c r="O17" s="214" t="s">
        <v>417</v>
      </c>
      <c r="P17" s="214" t="s">
        <v>418</v>
      </c>
      <c r="Q17" s="215" t="s">
        <v>400</v>
      </c>
      <c r="R17" s="166"/>
    </row>
    <row r="18" spans="1:18" ht="12">
      <c r="A18" s="141" t="s">
        <v>419</v>
      </c>
      <c r="B18" s="148">
        <f>C18*0.95</f>
        <v>13367.449999999999</v>
      </c>
      <c r="C18" s="194">
        <v>14071</v>
      </c>
      <c r="D18" s="216">
        <v>2730</v>
      </c>
      <c r="E18" s="145">
        <v>5.2</v>
      </c>
      <c r="F18" s="178">
        <v>0.0545</v>
      </c>
      <c r="G18" s="197">
        <v>0.2</v>
      </c>
      <c r="H18" s="217">
        <f>G18*E18</f>
        <v>1.04</v>
      </c>
      <c r="I18" s="218">
        <f>H18*4.5461</f>
        <v>4.727944</v>
      </c>
      <c r="J18" s="219"/>
      <c r="K18" s="220" t="s">
        <v>420</v>
      </c>
      <c r="L18" s="144" t="s">
        <v>421</v>
      </c>
      <c r="M18" s="221">
        <f aca="true" t="shared" si="0" ref="M18:M28">O18/N18</f>
        <v>7.048160503446952</v>
      </c>
      <c r="N18" s="147">
        <f aca="true" t="shared" si="1" ref="N18:N28">Q18*$L$60</f>
        <v>0.21538638355510065</v>
      </c>
      <c r="O18" s="222">
        <f aca="true" t="shared" si="2" ref="O18:O28">P18*$L$64</f>
        <v>1.5180778015533365</v>
      </c>
      <c r="P18" s="201">
        <v>12.669</v>
      </c>
      <c r="Q18" s="202">
        <v>139.178</v>
      </c>
      <c r="R18" s="166"/>
    </row>
    <row r="19" spans="1:18" ht="12">
      <c r="A19" s="141" t="s">
        <v>233</v>
      </c>
      <c r="B19" s="148">
        <f>C19*0.95</f>
        <v>13034.949999999999</v>
      </c>
      <c r="C19" s="194">
        <v>13721</v>
      </c>
      <c r="D19" s="216">
        <v>1850</v>
      </c>
      <c r="E19" s="145">
        <v>7.4</v>
      </c>
      <c r="F19" s="178">
        <v>0.05734</v>
      </c>
      <c r="G19" s="197">
        <v>0.214</v>
      </c>
      <c r="H19" s="217">
        <f>G19*E19</f>
        <v>1.5836000000000001</v>
      </c>
      <c r="I19" s="218">
        <f>H19*4.5461</f>
        <v>7.19920396</v>
      </c>
      <c r="J19" s="219"/>
      <c r="K19" s="220" t="s">
        <v>234</v>
      </c>
      <c r="L19" s="144" t="s">
        <v>235</v>
      </c>
      <c r="M19" s="221">
        <f t="shared" si="0"/>
        <v>7.130943375686292</v>
      </c>
      <c r="N19" s="147">
        <f t="shared" si="1"/>
        <v>0.2151712726373251</v>
      </c>
      <c r="O19" s="222">
        <f t="shared" si="2"/>
        <v>1.5343741612511226</v>
      </c>
      <c r="P19" s="201">
        <v>12.805</v>
      </c>
      <c r="Q19" s="202">
        <v>139.039</v>
      </c>
      <c r="R19" s="166"/>
    </row>
    <row r="20" spans="1:18" ht="12">
      <c r="A20" s="141"/>
      <c r="B20" s="148">
        <f>Y20*$C$59*1000</f>
        <v>0</v>
      </c>
      <c r="C20" s="194"/>
      <c r="D20" s="216"/>
      <c r="E20" s="145"/>
      <c r="F20" s="178"/>
      <c r="G20" s="197"/>
      <c r="H20" s="217"/>
      <c r="I20" s="218"/>
      <c r="J20" s="219"/>
      <c r="K20" s="220"/>
      <c r="L20" s="144"/>
      <c r="M20" s="221"/>
      <c r="N20" s="147"/>
      <c r="O20" s="222"/>
      <c r="P20" s="201"/>
      <c r="Q20" s="202"/>
      <c r="R20" s="166"/>
    </row>
    <row r="21" spans="1:18" ht="12">
      <c r="A21" s="223"/>
      <c r="B21" s="148">
        <f>Y21*$C$59*1000</f>
        <v>0</v>
      </c>
      <c r="C21" s="194"/>
      <c r="D21" s="216"/>
      <c r="E21" s="145"/>
      <c r="F21" s="140"/>
      <c r="G21" s="144"/>
      <c r="H21" s="145"/>
      <c r="I21" s="146"/>
      <c r="J21" s="219"/>
      <c r="K21" s="220" t="s">
        <v>236</v>
      </c>
      <c r="L21" s="144" t="s">
        <v>237</v>
      </c>
      <c r="M21" s="221">
        <f t="shared" si="0"/>
        <v>9.306171364016098</v>
      </c>
      <c r="N21" s="147">
        <f t="shared" si="1"/>
        <v>0.23633880597065848</v>
      </c>
      <c r="O21" s="222">
        <f t="shared" si="2"/>
        <v>2.199409428329899</v>
      </c>
      <c r="P21" s="201">
        <v>18.355</v>
      </c>
      <c r="Q21" s="202">
        <v>152.717</v>
      </c>
      <c r="R21" s="166"/>
    </row>
    <row r="22" spans="1:18" ht="12">
      <c r="A22" s="141" t="s">
        <v>238</v>
      </c>
      <c r="B22" s="148">
        <f>C22*0.95</f>
        <v>12432.65</v>
      </c>
      <c r="C22" s="194">
        <v>13087</v>
      </c>
      <c r="D22" s="216">
        <v>1362</v>
      </c>
      <c r="E22" s="145">
        <v>9.6</v>
      </c>
      <c r="F22" s="178">
        <v>0.0655</v>
      </c>
      <c r="G22" s="197">
        <v>0.24</v>
      </c>
      <c r="H22" s="217">
        <f>G22*E22</f>
        <v>2.304</v>
      </c>
      <c r="I22" s="218">
        <f>H22*4.5461</f>
        <v>10.4742144</v>
      </c>
      <c r="J22" s="219"/>
      <c r="K22" s="220" t="s">
        <v>239</v>
      </c>
      <c r="L22" s="144" t="s">
        <v>240</v>
      </c>
      <c r="M22" s="221">
        <f t="shared" si="0"/>
        <v>9.684016732136532</v>
      </c>
      <c r="N22" s="147">
        <f t="shared" si="1"/>
        <v>0.24207716052541794</v>
      </c>
      <c r="O22" s="222">
        <f t="shared" si="2"/>
        <v>2.3442792729962485</v>
      </c>
      <c r="P22" s="201">
        <v>19.564</v>
      </c>
      <c r="Q22" s="202">
        <v>156.425</v>
      </c>
      <c r="R22" s="166"/>
    </row>
    <row r="23" spans="1:18" ht="12">
      <c r="A23" s="141" t="s">
        <v>241</v>
      </c>
      <c r="B23" s="148">
        <f>C23*0.95</f>
        <v>12202.75</v>
      </c>
      <c r="C23" s="194">
        <v>12845</v>
      </c>
      <c r="D23" s="216">
        <v>1251</v>
      </c>
      <c r="E23" s="145">
        <v>10.3</v>
      </c>
      <c r="F23" s="178">
        <v>0.0655</v>
      </c>
      <c r="G23" s="197">
        <v>0.24</v>
      </c>
      <c r="H23" s="217">
        <f>G23*E23</f>
        <v>2.472</v>
      </c>
      <c r="I23" s="218">
        <f>H23*4.5461</f>
        <v>11.2379592</v>
      </c>
      <c r="J23" s="219"/>
      <c r="K23" s="220" t="s">
        <v>242</v>
      </c>
      <c r="L23" s="144" t="s">
        <v>243</v>
      </c>
      <c r="M23" s="221">
        <f t="shared" si="0"/>
        <v>10.453008632237946</v>
      </c>
      <c r="N23" s="147">
        <f t="shared" si="1"/>
        <v>0.24181871791197543</v>
      </c>
      <c r="O23" s="222">
        <f t="shared" si="2"/>
        <v>2.527733145770592</v>
      </c>
      <c r="P23" s="201">
        <v>21.095</v>
      </c>
      <c r="Q23" s="202">
        <v>156.258</v>
      </c>
      <c r="R23" s="166"/>
    </row>
    <row r="24" spans="1:18" ht="12">
      <c r="A24" s="141"/>
      <c r="B24" s="148">
        <f>Y24*$C$59*1000</f>
        <v>0</v>
      </c>
      <c r="C24" s="194"/>
      <c r="D24" s="216"/>
      <c r="E24" s="145"/>
      <c r="F24" s="178"/>
      <c r="G24" s="197"/>
      <c r="H24" s="217"/>
      <c r="I24" s="218"/>
      <c r="J24" s="219"/>
      <c r="K24" s="220"/>
      <c r="L24" s="144"/>
      <c r="M24" s="221"/>
      <c r="N24" s="147"/>
      <c r="O24" s="222"/>
      <c r="P24" s="201"/>
      <c r="Q24" s="202"/>
      <c r="R24" s="166"/>
    </row>
    <row r="25" spans="1:18" ht="12">
      <c r="A25" s="141" t="s">
        <v>244</v>
      </c>
      <c r="B25" s="148">
        <f>C25*0.95</f>
        <v>12034.599999999999</v>
      </c>
      <c r="C25" s="194">
        <v>12668</v>
      </c>
      <c r="D25" s="216">
        <v>1187</v>
      </c>
      <c r="E25" s="145">
        <v>10.7</v>
      </c>
      <c r="F25" s="178">
        <v>0.068</v>
      </c>
      <c r="G25" s="197">
        <v>0.25</v>
      </c>
      <c r="H25" s="217">
        <f>G25*E25</f>
        <v>2.675</v>
      </c>
      <c r="I25" s="218">
        <f>H25*4.5461</f>
        <v>12.160817499999999</v>
      </c>
      <c r="J25" s="219"/>
      <c r="K25" s="220" t="s">
        <v>245</v>
      </c>
      <c r="L25" s="144" t="s">
        <v>246</v>
      </c>
      <c r="M25" s="221">
        <f t="shared" si="0"/>
        <v>10.452815191725845</v>
      </c>
      <c r="N25" s="147">
        <f t="shared" si="1"/>
        <v>0.24689007386557488</v>
      </c>
      <c r="O25" s="222">
        <f t="shared" si="2"/>
        <v>2.5806963147883972</v>
      </c>
      <c r="P25" s="201">
        <v>21.537</v>
      </c>
      <c r="Q25" s="202">
        <v>159.535</v>
      </c>
      <c r="R25" s="166"/>
    </row>
    <row r="26" spans="1:18" ht="12">
      <c r="A26" s="141" t="s">
        <v>247</v>
      </c>
      <c r="B26" s="148">
        <f>C26*0.95</f>
        <v>11482.65</v>
      </c>
      <c r="C26" s="194">
        <v>12087</v>
      </c>
      <c r="D26" s="216">
        <v>1142</v>
      </c>
      <c r="E26" s="145">
        <v>10.6</v>
      </c>
      <c r="F26" s="178">
        <v>0.0709</v>
      </c>
      <c r="G26" s="197">
        <v>0.26</v>
      </c>
      <c r="H26" s="217">
        <f>G26*E26</f>
        <v>2.756</v>
      </c>
      <c r="I26" s="218">
        <f>H26*4.5461</f>
        <v>12.529051599999999</v>
      </c>
      <c r="J26" s="219"/>
      <c r="K26" s="220" t="s">
        <v>248</v>
      </c>
      <c r="L26" s="144" t="s">
        <v>249</v>
      </c>
      <c r="M26" s="221">
        <f t="shared" si="0"/>
        <v>10.73929766862614</v>
      </c>
      <c r="N26" s="147">
        <f t="shared" si="1"/>
        <v>0.249754608461276</v>
      </c>
      <c r="O26" s="222">
        <f t="shared" si="2"/>
        <v>2.682189084376816</v>
      </c>
      <c r="P26" s="201">
        <v>22.384</v>
      </c>
      <c r="Q26" s="202">
        <v>161.386</v>
      </c>
      <c r="R26" s="166"/>
    </row>
    <row r="27" spans="1:18" ht="12">
      <c r="A27" s="141" t="s">
        <v>250</v>
      </c>
      <c r="B27" s="148">
        <f>C27*0.95</f>
        <v>11482.65</v>
      </c>
      <c r="C27" s="194">
        <v>12087</v>
      </c>
      <c r="D27" s="216">
        <v>1031</v>
      </c>
      <c r="E27" s="145">
        <v>11.7</v>
      </c>
      <c r="F27" s="178">
        <v>0.0709</v>
      </c>
      <c r="G27" s="197">
        <v>0.26</v>
      </c>
      <c r="H27" s="217">
        <f>G27*E27</f>
        <v>3.042</v>
      </c>
      <c r="I27" s="218">
        <f>H27*4.5461</f>
        <v>13.829236199999999</v>
      </c>
      <c r="J27" s="148"/>
      <c r="K27" s="220" t="s">
        <v>251</v>
      </c>
      <c r="L27" s="144" t="s">
        <v>252</v>
      </c>
      <c r="M27" s="221">
        <f t="shared" si="0"/>
        <v>11.590807496335714</v>
      </c>
      <c r="N27" s="147">
        <f t="shared" si="1"/>
        <v>0.26913006666666667</v>
      </c>
      <c r="O27" s="222">
        <f t="shared" si="2"/>
        <v>3.1194347942093303</v>
      </c>
      <c r="P27" s="201">
        <v>26.033</v>
      </c>
      <c r="Q27" s="202">
        <v>173.906</v>
      </c>
      <c r="R27" s="166"/>
    </row>
    <row r="28" spans="1:18" ht="12">
      <c r="A28" s="141" t="s">
        <v>253</v>
      </c>
      <c r="B28" s="148"/>
      <c r="C28" s="194"/>
      <c r="D28" s="144"/>
      <c r="E28" s="145"/>
      <c r="F28" s="178">
        <v>0.0927</v>
      </c>
      <c r="G28" s="197">
        <v>0.34</v>
      </c>
      <c r="H28" s="149"/>
      <c r="I28" s="175"/>
      <c r="J28" s="148"/>
      <c r="K28" s="220" t="s">
        <v>254</v>
      </c>
      <c r="L28" s="144" t="s">
        <v>255</v>
      </c>
      <c r="M28" s="221">
        <f t="shared" si="0"/>
        <v>11.142315849885982</v>
      </c>
      <c r="N28" s="147">
        <f t="shared" si="1"/>
        <v>0.34840230876833844</v>
      </c>
      <c r="O28" s="222">
        <f t="shared" si="2"/>
        <v>3.882008567126327</v>
      </c>
      <c r="P28" s="201">
        <v>32.397</v>
      </c>
      <c r="Q28" s="202">
        <v>225.13</v>
      </c>
      <c r="R28" s="166"/>
    </row>
    <row r="29" spans="1:18" ht="12">
      <c r="A29" s="141"/>
      <c r="B29" s="148"/>
      <c r="C29" s="194"/>
      <c r="D29" s="144"/>
      <c r="E29" s="145"/>
      <c r="F29" s="224"/>
      <c r="G29" s="161"/>
      <c r="H29" s="187"/>
      <c r="I29" s="160"/>
      <c r="J29" s="148"/>
      <c r="K29" s="220"/>
      <c r="L29" s="144"/>
      <c r="M29" s="221"/>
      <c r="N29" s="147"/>
      <c r="O29" s="222"/>
      <c r="P29" s="201"/>
      <c r="Q29" s="202"/>
      <c r="R29" s="166"/>
    </row>
    <row r="30" spans="1:18" ht="12">
      <c r="A30" s="223" t="s">
        <v>256</v>
      </c>
      <c r="B30" s="148">
        <f>C30*0.95</f>
        <v>12047.9</v>
      </c>
      <c r="C30" s="194">
        <v>12682</v>
      </c>
      <c r="D30" s="216">
        <v>1192</v>
      </c>
      <c r="E30" s="145">
        <v>10.6</v>
      </c>
      <c r="F30" s="225"/>
      <c r="G30" s="226"/>
      <c r="H30" s="227"/>
      <c r="I30" s="198"/>
      <c r="J30" s="148"/>
      <c r="K30" s="220"/>
      <c r="L30" s="144"/>
      <c r="M30" s="144"/>
      <c r="N30" s="147"/>
      <c r="O30" s="222"/>
      <c r="P30" s="201"/>
      <c r="Q30" s="202"/>
      <c r="R30" s="166"/>
    </row>
    <row r="31" spans="1:18" ht="12">
      <c r="A31" s="223" t="s">
        <v>257</v>
      </c>
      <c r="B31" s="148">
        <f>C31*0.95</f>
        <v>12113.449999999999</v>
      </c>
      <c r="C31" s="194">
        <v>12751</v>
      </c>
      <c r="D31" s="228" t="s">
        <v>402</v>
      </c>
      <c r="E31" s="203" t="s">
        <v>402</v>
      </c>
      <c r="F31" s="182"/>
      <c r="G31" s="168"/>
      <c r="H31" s="229"/>
      <c r="I31" s="230"/>
      <c r="J31" s="148"/>
      <c r="K31" s="140"/>
      <c r="L31" s="144"/>
      <c r="M31" s="144"/>
      <c r="N31" s="147"/>
      <c r="O31" s="231"/>
      <c r="P31" s="148"/>
      <c r="Q31" s="149"/>
      <c r="R31" s="166"/>
    </row>
    <row r="32" spans="1:18" ht="48">
      <c r="A32" s="152" t="s">
        <v>258</v>
      </c>
      <c r="B32" s="232" t="s">
        <v>259</v>
      </c>
      <c r="C32" s="186" t="s">
        <v>388</v>
      </c>
      <c r="D32" s="158" t="s">
        <v>389</v>
      </c>
      <c r="E32" s="210" t="s">
        <v>259</v>
      </c>
      <c r="F32" s="157" t="s">
        <v>381</v>
      </c>
      <c r="G32" s="158" t="s">
        <v>391</v>
      </c>
      <c r="H32" s="159" t="s">
        <v>260</v>
      </c>
      <c r="I32" s="211" t="s">
        <v>261</v>
      </c>
      <c r="J32" s="161"/>
      <c r="K32" s="188" t="s">
        <v>262</v>
      </c>
      <c r="L32" s="153"/>
      <c r="M32" s="233" t="s">
        <v>263</v>
      </c>
      <c r="N32" s="190" t="s">
        <v>397</v>
      </c>
      <c r="O32" s="234" t="s">
        <v>264</v>
      </c>
      <c r="P32" s="191" t="s">
        <v>265</v>
      </c>
      <c r="Q32" s="192" t="s">
        <v>400</v>
      </c>
      <c r="R32" s="166"/>
    </row>
    <row r="33" spans="1:18" ht="12">
      <c r="A33" s="141" t="s">
        <v>266</v>
      </c>
      <c r="B33" s="221">
        <f>E33*0.9</f>
        <v>9.9</v>
      </c>
      <c r="C33" s="235" t="s">
        <v>402</v>
      </c>
      <c r="D33" s="195" t="s">
        <v>402</v>
      </c>
      <c r="E33" s="145">
        <v>11</v>
      </c>
      <c r="F33" s="178">
        <v>0.0518</v>
      </c>
      <c r="G33" s="197">
        <v>0.19</v>
      </c>
      <c r="H33" s="236">
        <f>G33*E33</f>
        <v>2.09</v>
      </c>
      <c r="I33" s="198">
        <f>H33*100/35.31</f>
        <v>5.919003115264797</v>
      </c>
      <c r="J33" s="231"/>
      <c r="K33" s="140" t="s">
        <v>267</v>
      </c>
      <c r="L33" s="144" t="s">
        <v>268</v>
      </c>
      <c r="M33" s="199">
        <f>O33/N33</f>
        <v>10.660116597806512</v>
      </c>
      <c r="N33" s="147">
        <f>Q33*$L$60</f>
        <v>0.18118839031047423</v>
      </c>
      <c r="O33" s="222">
        <f>P33*$L$68</f>
        <v>1.931489366878531</v>
      </c>
      <c r="P33" s="201">
        <v>120.593</v>
      </c>
      <c r="Q33" s="202">
        <v>117.08</v>
      </c>
      <c r="R33" s="166"/>
    </row>
    <row r="34" spans="1:18" ht="12">
      <c r="A34" s="141" t="s">
        <v>269</v>
      </c>
      <c r="B34" s="199"/>
      <c r="C34" s="235"/>
      <c r="D34" s="195"/>
      <c r="E34" s="145"/>
      <c r="F34" s="178">
        <v>0.0545</v>
      </c>
      <c r="G34" s="197">
        <v>0.2</v>
      </c>
      <c r="H34" s="149"/>
      <c r="I34" s="175"/>
      <c r="J34" s="148"/>
      <c r="K34" s="140" t="s">
        <v>270</v>
      </c>
      <c r="L34" s="144" t="s">
        <v>271</v>
      </c>
      <c r="M34" s="199">
        <f>O34/N34</f>
        <v>11.467341825014925</v>
      </c>
      <c r="N34" s="147">
        <f>Q34*$L$60</f>
        <v>0.1868230583077448</v>
      </c>
      <c r="O34" s="222">
        <f>P34*$L$68</f>
        <v>2.142363870409604</v>
      </c>
      <c r="P34" s="201">
        <v>133.759</v>
      </c>
      <c r="Q34" s="202">
        <v>120.721</v>
      </c>
      <c r="R34" s="166"/>
    </row>
    <row r="35" spans="1:18" ht="12">
      <c r="A35" s="141" t="s">
        <v>272</v>
      </c>
      <c r="B35" s="221">
        <f>E35*0.9</f>
        <v>4.5</v>
      </c>
      <c r="C35" s="235" t="s">
        <v>402</v>
      </c>
      <c r="D35" s="195" t="s">
        <v>402</v>
      </c>
      <c r="E35" s="145">
        <v>5</v>
      </c>
      <c r="F35" s="140"/>
      <c r="G35" s="144"/>
      <c r="H35" s="145"/>
      <c r="I35" s="146"/>
      <c r="J35" s="144"/>
      <c r="K35" s="140" t="s">
        <v>273</v>
      </c>
      <c r="L35" s="144" t="s">
        <v>274</v>
      </c>
      <c r="M35" s="199">
        <f>O35/N35</f>
        <v>10.449966927550307</v>
      </c>
      <c r="N35" s="147">
        <f>Q35*$L$60</f>
        <v>0.17836873497099964</v>
      </c>
      <c r="O35" s="222">
        <f>P35*$L$68</f>
        <v>1.8639473813559322</v>
      </c>
      <c r="P35" s="201">
        <v>116.376</v>
      </c>
      <c r="Q35" s="202">
        <v>115.258</v>
      </c>
      <c r="R35" s="166"/>
    </row>
    <row r="36" spans="1:18" ht="12">
      <c r="A36" s="141" t="s">
        <v>275</v>
      </c>
      <c r="B36" s="237" t="s">
        <v>276</v>
      </c>
      <c r="C36" s="235" t="s">
        <v>402</v>
      </c>
      <c r="D36" s="195" t="s">
        <v>402</v>
      </c>
      <c r="E36" s="238" t="s">
        <v>277</v>
      </c>
      <c r="F36" s="140"/>
      <c r="G36" s="144"/>
      <c r="H36" s="145"/>
      <c r="I36" s="239"/>
      <c r="J36" s="144"/>
      <c r="K36" s="140" t="s">
        <v>278</v>
      </c>
      <c r="L36" s="144" t="s">
        <v>279</v>
      </c>
      <c r="M36" s="144"/>
      <c r="N36" s="147">
        <f>Q36*$L$60</f>
        <v>0.17836873497099964</v>
      </c>
      <c r="O36" s="200"/>
      <c r="P36" s="201"/>
      <c r="Q36" s="202">
        <v>115.258</v>
      </c>
      <c r="R36" s="240"/>
    </row>
    <row r="37" spans="1:18" ht="12">
      <c r="A37" s="141" t="s">
        <v>280</v>
      </c>
      <c r="B37" s="237" t="s">
        <v>276</v>
      </c>
      <c r="C37" s="235" t="s">
        <v>402</v>
      </c>
      <c r="D37" s="195" t="s">
        <v>402</v>
      </c>
      <c r="E37" s="238" t="s">
        <v>277</v>
      </c>
      <c r="F37" s="140"/>
      <c r="G37" s="144"/>
      <c r="H37" s="145"/>
      <c r="I37" s="146"/>
      <c r="J37" s="144"/>
      <c r="K37" s="140" t="s">
        <v>281</v>
      </c>
      <c r="L37" s="144" t="s">
        <v>281</v>
      </c>
      <c r="M37" s="144"/>
      <c r="N37" s="147"/>
      <c r="O37" s="148"/>
      <c r="P37" s="148"/>
      <c r="Q37" s="149"/>
      <c r="R37" s="240"/>
    </row>
    <row r="38" spans="1:18" ht="12">
      <c r="A38" s="141" t="s">
        <v>282</v>
      </c>
      <c r="B38" s="221">
        <f>E38*0.9</f>
        <v>0.747</v>
      </c>
      <c r="C38" s="235" t="s">
        <v>402</v>
      </c>
      <c r="D38" s="195" t="s">
        <v>402</v>
      </c>
      <c r="E38" s="238">
        <v>0.83</v>
      </c>
      <c r="F38" s="140"/>
      <c r="G38" s="144"/>
      <c r="H38" s="145"/>
      <c r="I38" s="146"/>
      <c r="J38" s="144"/>
      <c r="K38" s="140"/>
      <c r="L38" s="144"/>
      <c r="M38" s="144"/>
      <c r="N38" s="147"/>
      <c r="O38" s="148"/>
      <c r="P38" s="148"/>
      <c r="Q38" s="149"/>
      <c r="R38" s="240"/>
    </row>
    <row r="39" spans="1:18" ht="12">
      <c r="A39" s="141"/>
      <c r="B39" s="199"/>
      <c r="C39" s="235"/>
      <c r="D39" s="195"/>
      <c r="E39" s="145"/>
      <c r="F39" s="182"/>
      <c r="G39" s="168"/>
      <c r="H39" s="229"/>
      <c r="I39" s="230"/>
      <c r="J39" s="144"/>
      <c r="K39" s="182"/>
      <c r="L39" s="168"/>
      <c r="M39" s="168"/>
      <c r="N39" s="183"/>
      <c r="O39" s="184"/>
      <c r="P39" s="184"/>
      <c r="Q39" s="174"/>
      <c r="R39" s="240"/>
    </row>
    <row r="40" spans="1:18" ht="36">
      <c r="A40" s="152" t="s">
        <v>283</v>
      </c>
      <c r="B40" s="158" t="s">
        <v>284</v>
      </c>
      <c r="C40" s="186" t="s">
        <v>388</v>
      </c>
      <c r="D40" s="158" t="s">
        <v>389</v>
      </c>
      <c r="E40" s="210" t="s">
        <v>259</v>
      </c>
      <c r="F40" s="224" t="s">
        <v>381</v>
      </c>
      <c r="G40" s="161" t="s">
        <v>391</v>
      </c>
      <c r="H40" s="187" t="s">
        <v>398</v>
      </c>
      <c r="I40" s="160" t="s">
        <v>285</v>
      </c>
      <c r="J40" s="161"/>
      <c r="K40" s="212" t="s">
        <v>286</v>
      </c>
      <c r="L40" s="144"/>
      <c r="M40" s="233" t="s">
        <v>396</v>
      </c>
      <c r="N40" s="213" t="s">
        <v>397</v>
      </c>
      <c r="O40" s="214" t="s">
        <v>398</v>
      </c>
      <c r="P40" s="214" t="s">
        <v>399</v>
      </c>
      <c r="Q40" s="215" t="s">
        <v>400</v>
      </c>
      <c r="R40" s="240"/>
    </row>
    <row r="41" spans="1:18" ht="12">
      <c r="A41" s="141" t="s">
        <v>287</v>
      </c>
      <c r="B41" s="148">
        <f>C41*0.5</f>
        <v>1389</v>
      </c>
      <c r="C41" s="194">
        <v>2778</v>
      </c>
      <c r="D41" s="195" t="s">
        <v>402</v>
      </c>
      <c r="E41" s="203" t="s">
        <v>402</v>
      </c>
      <c r="F41" s="140"/>
      <c r="G41" s="144"/>
      <c r="H41" s="217">
        <v>1730.0304</v>
      </c>
      <c r="I41" s="218">
        <f>H41/1000</f>
        <v>1.7300304000000002</v>
      </c>
      <c r="J41" s="144"/>
      <c r="K41" s="140" t="s">
        <v>288</v>
      </c>
      <c r="L41" s="144" t="s">
        <v>289</v>
      </c>
      <c r="M41" s="144"/>
      <c r="N41" s="147">
        <f>Q41*$L$60</f>
        <v>0</v>
      </c>
      <c r="O41" s="200">
        <f>P41*$L$56</f>
        <v>1906.9579585537917</v>
      </c>
      <c r="P41" s="201">
        <v>3814</v>
      </c>
      <c r="Q41" s="241"/>
      <c r="R41" s="240"/>
    </row>
    <row r="42" spans="1:18" ht="12">
      <c r="A42" s="141" t="s">
        <v>290</v>
      </c>
      <c r="B42" s="148">
        <f>C42*0.84</f>
        <v>2777.04</v>
      </c>
      <c r="C42" s="194">
        <v>3306</v>
      </c>
      <c r="D42" s="195" t="s">
        <v>402</v>
      </c>
      <c r="E42" s="203" t="s">
        <v>402</v>
      </c>
      <c r="F42" s="140"/>
      <c r="G42" s="144"/>
      <c r="H42" s="145"/>
      <c r="I42" s="146"/>
      <c r="J42" s="144"/>
      <c r="K42" s="140"/>
      <c r="L42" s="144"/>
      <c r="M42" s="144"/>
      <c r="N42" s="147"/>
      <c r="O42" s="200"/>
      <c r="P42" s="201"/>
      <c r="Q42" s="241"/>
      <c r="R42" s="240"/>
    </row>
    <row r="43" spans="1:18" ht="12">
      <c r="A43" s="141" t="s">
        <v>291</v>
      </c>
      <c r="B43" s="148"/>
      <c r="C43" s="194">
        <v>8890</v>
      </c>
      <c r="D43" s="195" t="s">
        <v>402</v>
      </c>
      <c r="E43" s="203" t="s">
        <v>402</v>
      </c>
      <c r="F43" s="140"/>
      <c r="G43" s="144"/>
      <c r="H43" s="217">
        <v>2794.176</v>
      </c>
      <c r="I43" s="218">
        <f>H43/1000</f>
        <v>2.7941759999999998</v>
      </c>
      <c r="J43" s="144"/>
      <c r="K43" s="140" t="s">
        <v>292</v>
      </c>
      <c r="L43" s="144" t="s">
        <v>293</v>
      </c>
      <c r="M43" s="148">
        <f>O43/N43</f>
        <v>10500.190912562046</v>
      </c>
      <c r="N43" s="147">
        <f>Q43*$L$60</f>
        <v>0.29332153333333333</v>
      </c>
      <c r="O43" s="200">
        <f>P43*$L$56</f>
        <v>3079.932098765432</v>
      </c>
      <c r="P43" s="201">
        <v>6160</v>
      </c>
      <c r="Q43" s="241">
        <v>189.538</v>
      </c>
      <c r="R43" s="240"/>
    </row>
    <row r="44" spans="1:18" ht="12">
      <c r="A44" s="141" t="s">
        <v>294</v>
      </c>
      <c r="B44" s="148">
        <f>C44*0.7</f>
        <v>1847.3</v>
      </c>
      <c r="C44" s="194">
        <v>2639</v>
      </c>
      <c r="D44" s="195" t="s">
        <v>402</v>
      </c>
      <c r="E44" s="203" t="s">
        <v>402</v>
      </c>
      <c r="F44" s="140"/>
      <c r="G44" s="144"/>
      <c r="H44" s="217">
        <v>906.7464</v>
      </c>
      <c r="I44" s="218">
        <f>H44/1000</f>
        <v>0.9067464</v>
      </c>
      <c r="J44" s="144"/>
      <c r="K44" s="140" t="s">
        <v>295</v>
      </c>
      <c r="L44" s="144" t="s">
        <v>296</v>
      </c>
      <c r="M44" s="148">
        <f>O44/N44</f>
        <v>3231.5637372954207</v>
      </c>
      <c r="N44" s="147">
        <f>Q44*$L$60</f>
        <v>0.3092861680655067</v>
      </c>
      <c r="O44" s="200">
        <f>P44*$L$56</f>
        <v>999.4779651675484</v>
      </c>
      <c r="P44" s="201">
        <v>1999</v>
      </c>
      <c r="Q44" s="241">
        <v>199.854</v>
      </c>
      <c r="R44" s="240"/>
    </row>
    <row r="45" spans="1:18" ht="12">
      <c r="A45" s="141" t="s">
        <v>297</v>
      </c>
      <c r="B45" s="148">
        <f>C45*0.7</f>
        <v>3597.2999999999997</v>
      </c>
      <c r="C45" s="194">
        <v>5139</v>
      </c>
      <c r="D45" s="195" t="s">
        <v>402</v>
      </c>
      <c r="E45" s="203" t="s">
        <v>402</v>
      </c>
      <c r="F45" s="140"/>
      <c r="G45" s="144"/>
      <c r="H45" s="217"/>
      <c r="I45" s="218"/>
      <c r="J45" s="144"/>
      <c r="K45" s="140"/>
      <c r="L45" s="144"/>
      <c r="M45" s="144"/>
      <c r="N45" s="147"/>
      <c r="O45" s="200"/>
      <c r="P45" s="201"/>
      <c r="Q45" s="241"/>
      <c r="R45" s="240"/>
    </row>
    <row r="46" spans="1:18" ht="12">
      <c r="A46" s="141" t="s">
        <v>298</v>
      </c>
      <c r="B46" s="148">
        <f>C46*0.85</f>
        <v>3541.95</v>
      </c>
      <c r="C46" s="194">
        <v>4167</v>
      </c>
      <c r="D46" s="195" t="s">
        <v>402</v>
      </c>
      <c r="E46" s="203" t="s">
        <v>402</v>
      </c>
      <c r="F46" s="140"/>
      <c r="G46" s="144"/>
      <c r="H46" s="217"/>
      <c r="I46" s="218"/>
      <c r="J46" s="144"/>
      <c r="K46" s="140"/>
      <c r="L46" s="144"/>
      <c r="M46" s="144"/>
      <c r="N46" s="147"/>
      <c r="O46" s="148"/>
      <c r="P46" s="148"/>
      <c r="Q46" s="149"/>
      <c r="R46" s="240"/>
    </row>
    <row r="47" spans="1:18" ht="12">
      <c r="A47" s="141" t="s">
        <v>299</v>
      </c>
      <c r="B47" s="148">
        <f>C47*0.84</f>
        <v>2053.7999999999997</v>
      </c>
      <c r="C47" s="194">
        <v>2445</v>
      </c>
      <c r="D47" s="195" t="s">
        <v>402</v>
      </c>
      <c r="E47" s="203" t="s">
        <v>402</v>
      </c>
      <c r="F47" s="140"/>
      <c r="G47" s="144"/>
      <c r="H47" s="217"/>
      <c r="I47" s="218"/>
      <c r="J47" s="144"/>
      <c r="K47" s="140"/>
      <c r="L47" s="144"/>
      <c r="M47" s="144"/>
      <c r="N47" s="147"/>
      <c r="O47" s="148"/>
      <c r="P47" s="148"/>
      <c r="Q47" s="149"/>
      <c r="R47" s="240"/>
    </row>
    <row r="48" spans="1:18" ht="12">
      <c r="A48" s="141" t="s">
        <v>300</v>
      </c>
      <c r="B48" s="148">
        <f>C48*0.95</f>
        <v>4222.75</v>
      </c>
      <c r="C48" s="194">
        <v>4445</v>
      </c>
      <c r="D48" s="195" t="s">
        <v>402</v>
      </c>
      <c r="E48" s="203" t="s">
        <v>402</v>
      </c>
      <c r="F48" s="140"/>
      <c r="G48" s="144"/>
      <c r="H48" s="217"/>
      <c r="I48" s="218"/>
      <c r="J48" s="144"/>
      <c r="K48" s="140"/>
      <c r="L48" s="144"/>
      <c r="M48" s="144"/>
      <c r="N48" s="147"/>
      <c r="O48" s="148"/>
      <c r="P48" s="148"/>
      <c r="Q48" s="149"/>
      <c r="R48" s="240"/>
    </row>
    <row r="49" spans="1:18" ht="12">
      <c r="A49" s="141" t="s">
        <v>301</v>
      </c>
      <c r="B49" s="148">
        <f>C49*0.95</f>
        <v>3694.5499999999997</v>
      </c>
      <c r="C49" s="194">
        <v>3889</v>
      </c>
      <c r="D49" s="195" t="s">
        <v>402</v>
      </c>
      <c r="E49" s="203" t="s">
        <v>402</v>
      </c>
      <c r="F49" s="140"/>
      <c r="G49" s="144"/>
      <c r="H49" s="217"/>
      <c r="I49" s="218"/>
      <c r="J49" s="144"/>
      <c r="K49" s="140"/>
      <c r="L49" s="144"/>
      <c r="M49" s="144"/>
      <c r="N49" s="147"/>
      <c r="O49" s="148"/>
      <c r="P49" s="148"/>
      <c r="Q49" s="149"/>
      <c r="R49" s="240"/>
    </row>
    <row r="50" spans="1:18" ht="12">
      <c r="A50" s="141"/>
      <c r="B50" s="231"/>
      <c r="C50" s="194"/>
      <c r="D50" s="195"/>
      <c r="E50" s="203"/>
      <c r="F50" s="140"/>
      <c r="G50" s="144"/>
      <c r="H50" s="217"/>
      <c r="I50" s="218"/>
      <c r="J50" s="144"/>
      <c r="K50" s="140"/>
      <c r="L50" s="144"/>
      <c r="M50" s="144"/>
      <c r="N50" s="147"/>
      <c r="O50" s="148"/>
      <c r="P50" s="148"/>
      <c r="Q50" s="149"/>
      <c r="R50" s="240"/>
    </row>
    <row r="51" spans="1:18" ht="12">
      <c r="A51" s="242"/>
      <c r="B51" s="243"/>
      <c r="C51" s="244"/>
      <c r="D51" s="245"/>
      <c r="E51" s="246"/>
      <c r="F51" s="247"/>
      <c r="G51" s="248"/>
      <c r="H51" s="249"/>
      <c r="I51" s="250"/>
      <c r="J51" s="144"/>
      <c r="K51" s="247"/>
      <c r="L51" s="248"/>
      <c r="M51" s="248"/>
      <c r="N51" s="251"/>
      <c r="O51" s="252"/>
      <c r="P51" s="252"/>
      <c r="Q51" s="253"/>
      <c r="R51" s="140"/>
    </row>
    <row r="52" spans="1:18" ht="12">
      <c r="A52" s="219"/>
      <c r="B52" s="144"/>
      <c r="C52" s="144"/>
      <c r="D52" s="127"/>
      <c r="E52" s="127"/>
      <c r="F52" s="127"/>
      <c r="G52" s="127"/>
      <c r="H52" s="144"/>
      <c r="I52" s="254"/>
      <c r="J52" s="127"/>
      <c r="K52" s="127"/>
      <c r="L52" s="127"/>
      <c r="M52" s="127"/>
      <c r="N52" s="255"/>
      <c r="O52" s="148"/>
      <c r="P52" s="148"/>
      <c r="Q52" s="148"/>
      <c r="R52" s="127"/>
    </row>
    <row r="53" spans="1:18" ht="12">
      <c r="A53" s="219"/>
      <c r="B53" s="144"/>
      <c r="C53" s="144"/>
      <c r="D53" s="127"/>
      <c r="E53" s="127"/>
      <c r="F53" s="127"/>
      <c r="G53" s="127"/>
      <c r="H53" s="144"/>
      <c r="I53" s="254"/>
      <c r="J53" s="127"/>
      <c r="K53" s="127"/>
      <c r="L53" s="127"/>
      <c r="M53" s="127"/>
      <c r="N53" s="255"/>
      <c r="O53" s="148"/>
      <c r="P53" s="148"/>
      <c r="Q53" s="148"/>
      <c r="R53" s="127"/>
    </row>
    <row r="54" spans="1:18" ht="12">
      <c r="A54" s="256" t="s">
        <v>302</v>
      </c>
      <c r="B54" s="257" t="s">
        <v>303</v>
      </c>
      <c r="C54" s="257" t="s">
        <v>304</v>
      </c>
      <c r="D54" s="257" t="s">
        <v>305</v>
      </c>
      <c r="E54" s="257" t="s">
        <v>306</v>
      </c>
      <c r="F54" s="257" t="s">
        <v>307</v>
      </c>
      <c r="G54" s="258" t="s">
        <v>308</v>
      </c>
      <c r="H54" s="144"/>
      <c r="I54" s="254"/>
      <c r="J54" s="259"/>
      <c r="K54" s="260" t="s">
        <v>309</v>
      </c>
      <c r="L54" s="261">
        <v>0.45359</v>
      </c>
      <c r="M54" s="262" t="s">
        <v>310</v>
      </c>
      <c r="N54" s="255"/>
      <c r="O54" s="148"/>
      <c r="P54" s="148"/>
      <c r="Q54" s="148"/>
      <c r="R54" s="127"/>
    </row>
    <row r="55" spans="1:18" ht="12">
      <c r="A55" s="263" t="s">
        <v>311</v>
      </c>
      <c r="B55" s="144"/>
      <c r="C55" s="144"/>
      <c r="D55" s="144"/>
      <c r="E55" s="144"/>
      <c r="F55" s="144"/>
      <c r="G55" s="264"/>
      <c r="H55" s="144"/>
      <c r="I55" s="254"/>
      <c r="J55" s="144"/>
      <c r="K55" s="265" t="s">
        <v>312</v>
      </c>
      <c r="L55" s="231">
        <v>0.9072</v>
      </c>
      <c r="M55" s="266" t="s">
        <v>313</v>
      </c>
      <c r="N55" s="255"/>
      <c r="O55" s="148"/>
      <c r="P55" s="148"/>
      <c r="Q55" s="148"/>
      <c r="R55" s="127"/>
    </row>
    <row r="56" spans="1:18" ht="12">
      <c r="A56" s="263" t="s">
        <v>303</v>
      </c>
      <c r="B56" s="144">
        <v>1</v>
      </c>
      <c r="C56" s="144">
        <v>29.31</v>
      </c>
      <c r="D56" s="216">
        <v>100000</v>
      </c>
      <c r="E56" s="144">
        <v>105.5</v>
      </c>
      <c r="F56" s="267">
        <v>0.00252</v>
      </c>
      <c r="G56" s="268">
        <v>25000</v>
      </c>
      <c r="H56" s="144"/>
      <c r="I56" s="254"/>
      <c r="J56" s="267"/>
      <c r="K56" s="269" t="s">
        <v>314</v>
      </c>
      <c r="L56" s="270">
        <f>L54/L55</f>
        <v>0.4999889770723104</v>
      </c>
      <c r="M56" s="271" t="s">
        <v>315</v>
      </c>
      <c r="N56" s="255"/>
      <c r="O56" s="148"/>
      <c r="P56" s="148"/>
      <c r="Q56" s="148"/>
      <c r="R56" s="127"/>
    </row>
    <row r="57" spans="1:18" ht="12">
      <c r="A57" s="263" t="s">
        <v>304</v>
      </c>
      <c r="B57" s="144">
        <v>0.03412</v>
      </c>
      <c r="C57" s="144">
        <v>1</v>
      </c>
      <c r="D57" s="144">
        <v>3412</v>
      </c>
      <c r="E57" s="144">
        <v>3.6</v>
      </c>
      <c r="F57" s="267">
        <v>8.598E-05</v>
      </c>
      <c r="G57" s="264">
        <v>859.7</v>
      </c>
      <c r="H57" s="144"/>
      <c r="I57" s="254"/>
      <c r="J57" s="144"/>
      <c r="K57" s="219"/>
      <c r="L57" s="148"/>
      <c r="M57" s="255"/>
      <c r="N57" s="255"/>
      <c r="O57" s="148"/>
      <c r="P57" s="148"/>
      <c r="Q57" s="148"/>
      <c r="R57" s="127"/>
    </row>
    <row r="58" spans="1:18" ht="12">
      <c r="A58" s="263" t="s">
        <v>305</v>
      </c>
      <c r="B58" s="267">
        <v>1E-05</v>
      </c>
      <c r="C58" s="272">
        <v>0.0002931</v>
      </c>
      <c r="D58" s="144">
        <v>1</v>
      </c>
      <c r="E58" s="267">
        <v>0.001055</v>
      </c>
      <c r="F58" s="267">
        <v>2.52E-08</v>
      </c>
      <c r="G58" s="264">
        <v>0.252</v>
      </c>
      <c r="H58" s="144"/>
      <c r="I58" s="254"/>
      <c r="J58" s="144"/>
      <c r="K58" s="273" t="s">
        <v>309</v>
      </c>
      <c r="L58" s="261">
        <v>0.45359</v>
      </c>
      <c r="M58" s="262" t="s">
        <v>310</v>
      </c>
      <c r="N58" s="255"/>
      <c r="O58" s="148"/>
      <c r="P58" s="148"/>
      <c r="Q58" s="148"/>
      <c r="R58" s="127"/>
    </row>
    <row r="59" spans="1:18" ht="12">
      <c r="A59" s="263" t="s">
        <v>306</v>
      </c>
      <c r="B59" s="267">
        <v>0.009478</v>
      </c>
      <c r="C59" s="144">
        <v>0.2778</v>
      </c>
      <c r="D59" s="144">
        <v>947.8</v>
      </c>
      <c r="E59" s="144">
        <v>1</v>
      </c>
      <c r="F59" s="267">
        <v>2.388E-05</v>
      </c>
      <c r="G59" s="264">
        <v>238.8</v>
      </c>
      <c r="H59" s="144"/>
      <c r="I59" s="254"/>
      <c r="J59" s="144"/>
      <c r="K59" s="179" t="s">
        <v>316</v>
      </c>
      <c r="L59" s="148">
        <v>293.1</v>
      </c>
      <c r="M59" s="266" t="s">
        <v>304</v>
      </c>
      <c r="N59" s="255"/>
      <c r="O59" s="148"/>
      <c r="P59" s="148"/>
      <c r="Q59" s="148"/>
      <c r="R59" s="127"/>
    </row>
    <row r="60" spans="1:18" ht="12">
      <c r="A60" s="263" t="s">
        <v>307</v>
      </c>
      <c r="B60" s="144">
        <v>396.8</v>
      </c>
      <c r="C60" s="216">
        <v>11630</v>
      </c>
      <c r="D60" s="267">
        <v>39680000</v>
      </c>
      <c r="E60" s="216">
        <v>41870</v>
      </c>
      <c r="F60" s="144">
        <v>1</v>
      </c>
      <c r="G60" s="268">
        <v>10000000</v>
      </c>
      <c r="H60" s="144"/>
      <c r="I60" s="254"/>
      <c r="J60" s="267"/>
      <c r="K60" s="274" t="s">
        <v>317</v>
      </c>
      <c r="L60" s="270">
        <f>L58/L59</f>
        <v>0.0015475605595359945</v>
      </c>
      <c r="M60" s="271" t="s">
        <v>318</v>
      </c>
      <c r="N60" s="255"/>
      <c r="O60" s="148"/>
      <c r="P60" s="148"/>
      <c r="Q60" s="148"/>
      <c r="R60" s="127"/>
    </row>
    <row r="61" spans="1:18" ht="12">
      <c r="A61" s="275" t="s">
        <v>308</v>
      </c>
      <c r="B61" s="276">
        <v>4E-05</v>
      </c>
      <c r="C61" s="277">
        <v>0.001163</v>
      </c>
      <c r="D61" s="168">
        <v>3.968</v>
      </c>
      <c r="E61" s="276">
        <v>0.00418</v>
      </c>
      <c r="F61" s="276">
        <f>1/G60</f>
        <v>1E-07</v>
      </c>
      <c r="G61" s="278">
        <v>1</v>
      </c>
      <c r="H61" s="144"/>
      <c r="I61" s="254"/>
      <c r="J61" s="144"/>
      <c r="K61" s="127"/>
      <c r="L61" s="231"/>
      <c r="M61" s="255"/>
      <c r="N61" s="255"/>
      <c r="O61" s="148"/>
      <c r="P61" s="148"/>
      <c r="Q61" s="148"/>
      <c r="R61" s="127"/>
    </row>
    <row r="62" spans="1:18" ht="12">
      <c r="A62" s="219"/>
      <c r="B62" s="144"/>
      <c r="C62" s="144"/>
      <c r="D62" s="127"/>
      <c r="E62" s="127"/>
      <c r="F62" s="127"/>
      <c r="G62" s="127"/>
      <c r="H62" s="144"/>
      <c r="I62" s="254"/>
      <c r="J62" s="127"/>
      <c r="K62" s="279" t="s">
        <v>309</v>
      </c>
      <c r="L62" s="280">
        <v>0.45359</v>
      </c>
      <c r="M62" s="281" t="s">
        <v>310</v>
      </c>
      <c r="N62" s="255"/>
      <c r="O62" s="127"/>
      <c r="P62" s="148"/>
      <c r="Q62" s="148"/>
      <c r="R62" s="127"/>
    </row>
    <row r="63" spans="1:18" ht="12">
      <c r="A63" s="219"/>
      <c r="B63" s="144"/>
      <c r="C63" s="144"/>
      <c r="D63" s="127"/>
      <c r="E63" s="127"/>
      <c r="F63" s="127"/>
      <c r="G63" s="127"/>
      <c r="H63" s="144"/>
      <c r="I63" s="254"/>
      <c r="J63" s="127"/>
      <c r="K63" s="282" t="s">
        <v>319</v>
      </c>
      <c r="L63" s="231">
        <v>3.7854</v>
      </c>
      <c r="M63" s="283" t="s">
        <v>320</v>
      </c>
      <c r="N63" s="255"/>
      <c r="O63" s="127"/>
      <c r="P63" s="148"/>
      <c r="Q63" s="148"/>
      <c r="R63" s="127"/>
    </row>
    <row r="64" spans="1:18" ht="12">
      <c r="A64" s="219"/>
      <c r="B64" s="144"/>
      <c r="C64" s="144"/>
      <c r="D64" s="127"/>
      <c r="E64" s="127"/>
      <c r="F64" s="127"/>
      <c r="G64" s="127"/>
      <c r="H64" s="144"/>
      <c r="I64" s="254"/>
      <c r="J64" s="127"/>
      <c r="K64" s="284" t="s">
        <v>321</v>
      </c>
      <c r="L64" s="270">
        <f>L62/L63</f>
        <v>0.11982617424842816</v>
      </c>
      <c r="M64" s="285" t="s">
        <v>322</v>
      </c>
      <c r="N64" s="255"/>
      <c r="O64" s="148"/>
      <c r="P64" s="148"/>
      <c r="Q64" s="148"/>
      <c r="R64" s="127"/>
    </row>
    <row r="65" spans="1:18" ht="12">
      <c r="A65" s="219"/>
      <c r="B65" s="144"/>
      <c r="C65" s="144"/>
      <c r="D65" s="127"/>
      <c r="E65" s="127"/>
      <c r="F65" s="127"/>
      <c r="G65" s="127"/>
      <c r="H65" s="144"/>
      <c r="I65" s="254"/>
      <c r="J65" s="127"/>
      <c r="K65" s="148"/>
      <c r="L65" s="231"/>
      <c r="M65" s="148"/>
      <c r="N65" s="255"/>
      <c r="O65" s="148"/>
      <c r="P65" s="148"/>
      <c r="Q65" s="148"/>
      <c r="R65" s="127"/>
    </row>
    <row r="66" spans="1:18" ht="12">
      <c r="A66" s="219"/>
      <c r="B66" s="144"/>
      <c r="C66" s="144"/>
      <c r="D66" s="127"/>
      <c r="E66" s="127"/>
      <c r="F66" s="127"/>
      <c r="G66" s="127"/>
      <c r="H66" s="144"/>
      <c r="I66" s="254"/>
      <c r="J66" s="127"/>
      <c r="K66" s="279" t="s">
        <v>309</v>
      </c>
      <c r="L66" s="261">
        <v>0.45359</v>
      </c>
      <c r="M66" s="281" t="s">
        <v>310</v>
      </c>
      <c r="N66" s="255"/>
      <c r="O66" s="148"/>
      <c r="P66" s="148"/>
      <c r="Q66" s="148"/>
      <c r="R66" s="127"/>
    </row>
    <row r="67" spans="1:18" ht="12">
      <c r="A67" s="219"/>
      <c r="B67" s="144"/>
      <c r="C67" s="144"/>
      <c r="D67" s="127"/>
      <c r="E67" s="127"/>
      <c r="F67" s="127"/>
      <c r="G67" s="127"/>
      <c r="H67" s="144"/>
      <c r="I67" s="254"/>
      <c r="J67" s="127"/>
      <c r="K67" s="282" t="s">
        <v>323</v>
      </c>
      <c r="L67" s="286">
        <v>28.32</v>
      </c>
      <c r="M67" s="283" t="s">
        <v>324</v>
      </c>
      <c r="N67" s="255"/>
      <c r="O67" s="148"/>
      <c r="P67" s="148"/>
      <c r="Q67" s="148"/>
      <c r="R67" s="127"/>
    </row>
    <row r="68" spans="1:18" ht="12">
      <c r="A68" s="219"/>
      <c r="B68" s="144"/>
      <c r="C68" s="144"/>
      <c r="D68" s="127"/>
      <c r="E68" s="127"/>
      <c r="F68" s="127"/>
      <c r="G68" s="127"/>
      <c r="H68" s="144"/>
      <c r="I68" s="254"/>
      <c r="J68" s="127"/>
      <c r="K68" s="284" t="s">
        <v>325</v>
      </c>
      <c r="L68" s="270">
        <f>L66/L67</f>
        <v>0.01601659604519774</v>
      </c>
      <c r="M68" s="285" t="s">
        <v>326</v>
      </c>
      <c r="N68" s="255"/>
      <c r="O68" s="148"/>
      <c r="P68" s="148"/>
      <c r="Q68" s="148"/>
      <c r="R68" s="127"/>
    </row>
    <row r="69" spans="1:18" ht="12">
      <c r="A69" s="219"/>
      <c r="B69" s="144"/>
      <c r="C69" s="144"/>
      <c r="D69" s="127"/>
      <c r="E69" s="127"/>
      <c r="F69" s="127"/>
      <c r="G69" s="127"/>
      <c r="H69" s="144"/>
      <c r="I69" s="254"/>
      <c r="J69" s="127"/>
      <c r="K69" s="127"/>
      <c r="L69" s="127"/>
      <c r="M69" s="127"/>
      <c r="N69" s="255"/>
      <c r="O69" s="148"/>
      <c r="P69" s="148"/>
      <c r="Q69" s="148"/>
      <c r="R69" s="127"/>
    </row>
    <row r="70" spans="1:18" ht="12">
      <c r="A70" s="219"/>
      <c r="B70" s="144"/>
      <c r="C70" s="144"/>
      <c r="D70" s="127"/>
      <c r="E70" s="127"/>
      <c r="F70" s="127"/>
      <c r="G70" s="127"/>
      <c r="H70" s="144"/>
      <c r="I70" s="254"/>
      <c r="J70" s="127"/>
      <c r="K70" s="287" t="s">
        <v>327</v>
      </c>
      <c r="L70" s="288">
        <v>4.5461</v>
      </c>
      <c r="M70" s="289" t="s">
        <v>320</v>
      </c>
      <c r="N70" s="255"/>
      <c r="O70" s="148"/>
      <c r="P70" s="148"/>
      <c r="Q70" s="148"/>
      <c r="R70" s="127"/>
    </row>
    <row r="71" spans="1:18" ht="12">
      <c r="A71" s="219"/>
      <c r="B71" s="144"/>
      <c r="C71" s="144"/>
      <c r="D71" s="127"/>
      <c r="E71" s="127"/>
      <c r="F71" s="127"/>
      <c r="G71" s="127"/>
      <c r="H71" s="144"/>
      <c r="I71" s="254"/>
      <c r="J71" s="127"/>
      <c r="K71" s="127"/>
      <c r="L71" s="127"/>
      <c r="M71" s="127"/>
      <c r="N71" s="255"/>
      <c r="O71" s="148"/>
      <c r="P71" s="148"/>
      <c r="Q71" s="148"/>
      <c r="R71" s="127"/>
    </row>
    <row r="72" spans="1:18" ht="12">
      <c r="A72" s="219"/>
      <c r="B72" s="144"/>
      <c r="C72" s="144"/>
      <c r="D72" s="127"/>
      <c r="E72" s="127"/>
      <c r="F72" s="127"/>
      <c r="G72" s="127"/>
      <c r="H72" s="144"/>
      <c r="I72" s="254"/>
      <c r="J72" s="127"/>
      <c r="K72" s="287" t="s">
        <v>328</v>
      </c>
      <c r="L72" s="288">
        <v>158.99</v>
      </c>
      <c r="M72" s="289" t="s">
        <v>329</v>
      </c>
      <c r="N72" s="255"/>
      <c r="O72" s="148"/>
      <c r="P72" s="148"/>
      <c r="Q72" s="148"/>
      <c r="R72" s="127"/>
    </row>
    <row r="73" spans="1:18" ht="12">
      <c r="A73" s="219"/>
      <c r="B73" s="144"/>
      <c r="C73" s="144"/>
      <c r="D73" s="127"/>
      <c r="E73" s="127"/>
      <c r="F73" s="127"/>
      <c r="G73" s="127"/>
      <c r="H73" s="144"/>
      <c r="I73" s="254"/>
      <c r="J73" s="127"/>
      <c r="K73" s="127"/>
      <c r="L73" s="127"/>
      <c r="M73" s="127"/>
      <c r="N73" s="255"/>
      <c r="O73" s="148"/>
      <c r="P73" s="148"/>
      <c r="Q73" s="148"/>
      <c r="R73" s="127"/>
    </row>
    <row r="74" spans="1:18" ht="12">
      <c r="A74" s="219"/>
      <c r="B74" s="144"/>
      <c r="C74" s="144"/>
      <c r="D74" s="127"/>
      <c r="E74" s="127"/>
      <c r="F74" s="127"/>
      <c r="G74" s="127"/>
      <c r="H74" s="144"/>
      <c r="I74" s="254"/>
      <c r="J74" s="127"/>
      <c r="K74" s="290" t="s">
        <v>330</v>
      </c>
      <c r="L74" s="291">
        <v>31</v>
      </c>
      <c r="M74" s="292" t="s">
        <v>331</v>
      </c>
      <c r="N74" s="255"/>
      <c r="O74" s="148"/>
      <c r="P74" s="148"/>
      <c r="Q74" s="148"/>
      <c r="R74" s="127"/>
    </row>
    <row r="75" spans="1:18" ht="12">
      <c r="A75" s="219"/>
      <c r="B75" s="144"/>
      <c r="C75" s="144"/>
      <c r="D75" s="127"/>
      <c r="E75" s="127"/>
      <c r="F75" s="127"/>
      <c r="G75" s="127"/>
      <c r="H75" s="144"/>
      <c r="I75" s="254"/>
      <c r="J75" s="127"/>
      <c r="K75" s="179" t="s">
        <v>332</v>
      </c>
      <c r="L75" s="286">
        <v>2.818181818181818</v>
      </c>
      <c r="M75" s="293" t="s">
        <v>324</v>
      </c>
      <c r="N75" s="255"/>
      <c r="O75" s="148"/>
      <c r="P75" s="148"/>
      <c r="Q75" s="148"/>
      <c r="R75" s="127"/>
    </row>
    <row r="76" spans="1:18" ht="12">
      <c r="A76" s="219"/>
      <c r="B76" s="144"/>
      <c r="C76" s="144"/>
      <c r="D76" s="127"/>
      <c r="E76" s="127"/>
      <c r="F76" s="127"/>
      <c r="G76" s="127"/>
      <c r="H76" s="144"/>
      <c r="I76" s="254"/>
      <c r="J76" s="127"/>
      <c r="K76" s="274" t="s">
        <v>330</v>
      </c>
      <c r="L76" s="294">
        <v>0.09090909090909091</v>
      </c>
      <c r="M76" s="295" t="s">
        <v>324</v>
      </c>
      <c r="N76" s="255"/>
      <c r="O76" s="148"/>
      <c r="P76" s="148"/>
      <c r="Q76" s="148"/>
      <c r="R76" s="127"/>
    </row>
    <row r="77" spans="1:18" ht="12">
      <c r="A77" s="219"/>
      <c r="B77" s="144"/>
      <c r="C77" s="144"/>
      <c r="D77" s="127"/>
      <c r="E77" s="127"/>
      <c r="F77" s="127"/>
      <c r="G77" s="127"/>
      <c r="H77" s="144"/>
      <c r="I77" s="254"/>
      <c r="J77" s="127"/>
      <c r="K77" s="287" t="s">
        <v>333</v>
      </c>
      <c r="L77" s="288">
        <v>35.31</v>
      </c>
      <c r="M77" s="289" t="s">
        <v>331</v>
      </c>
      <c r="N77" s="255"/>
      <c r="O77" s="148"/>
      <c r="P77" s="148"/>
      <c r="Q77" s="148"/>
      <c r="R77" s="127"/>
    </row>
    <row r="78" spans="1:18" ht="12">
      <c r="A78" s="219"/>
      <c r="B78" s="144"/>
      <c r="C78" s="144"/>
      <c r="D78" s="127"/>
      <c r="E78" s="127"/>
      <c r="F78" s="127"/>
      <c r="G78" s="127"/>
      <c r="H78" s="144"/>
      <c r="I78" s="254"/>
      <c r="J78" s="127"/>
      <c r="K78" s="127"/>
      <c r="L78" s="127"/>
      <c r="M78" s="127"/>
      <c r="N78" s="255"/>
      <c r="O78" s="148"/>
      <c r="P78" s="148"/>
      <c r="Q78" s="148"/>
      <c r="R78" s="127"/>
    </row>
  </sheetData>
  <mergeCells count="1">
    <mergeCell ref="N2:Q2"/>
  </mergeCells>
  <printOptions/>
  <pageMargins left="0.7479166666666667" right="0.7479166666666667" top="0.9840277777777778" bottom="0.9840277777777778" header="0.5118055555555556" footer="0.5118055555555556"/>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R188"/>
  <sheetViews>
    <sheetView zoomScale="150" zoomScaleNormal="150" workbookViewId="0" topLeftCell="A1">
      <selection activeCell="A1" sqref="A1"/>
    </sheetView>
  </sheetViews>
  <sheetFormatPr defaultColWidth="11.421875" defaultRowHeight="12.75"/>
  <cols>
    <col min="4" max="4" width="3.00390625" style="0" customWidth="1"/>
    <col min="6" max="7" width="2.421875" style="0" customWidth="1"/>
    <col min="8" max="8" width="6.7109375" style="0" customWidth="1"/>
  </cols>
  <sheetData>
    <row r="1" spans="1:9" ht="16.5">
      <c r="A1" s="362" t="s">
        <v>334</v>
      </c>
      <c r="B1" s="362"/>
      <c r="C1" s="362"/>
      <c r="D1" s="362"/>
      <c r="E1" s="362"/>
      <c r="F1" s="362"/>
      <c r="G1" s="362"/>
      <c r="H1" s="362"/>
      <c r="I1" s="362"/>
    </row>
    <row r="2" spans="1:9" ht="12">
      <c r="A2" s="363" t="s">
        <v>335</v>
      </c>
      <c r="B2" s="363"/>
      <c r="C2" s="363"/>
      <c r="D2" s="363"/>
      <c r="E2" s="363"/>
      <c r="F2" s="363"/>
      <c r="G2" s="363"/>
      <c r="H2" s="363"/>
      <c r="I2" s="363"/>
    </row>
    <row r="3" spans="1:4" ht="12">
      <c r="A3" s="34"/>
      <c r="D3" s="1"/>
    </row>
    <row r="4" spans="1:9" ht="12">
      <c r="A4" s="364" t="s">
        <v>336</v>
      </c>
      <c r="B4" s="364"/>
      <c r="C4" s="364"/>
      <c r="D4" s="364"/>
      <c r="E4" s="364"/>
      <c r="F4" s="364"/>
      <c r="G4" s="364"/>
      <c r="H4" s="364"/>
      <c r="I4" s="364"/>
    </row>
    <row r="5" spans="1:4" ht="12">
      <c r="A5" s="296"/>
      <c r="D5" s="1"/>
    </row>
    <row r="6" spans="1:9" ht="12">
      <c r="A6" s="34" t="s">
        <v>337</v>
      </c>
      <c r="D6" s="1"/>
      <c r="H6" s="365" t="s">
        <v>338</v>
      </c>
      <c r="I6" s="365"/>
    </row>
    <row r="7" spans="1:9" ht="12">
      <c r="A7" s="359" t="s">
        <v>339</v>
      </c>
      <c r="B7" s="359"/>
      <c r="D7" s="1"/>
      <c r="H7" s="297">
        <v>0</v>
      </c>
      <c r="I7" s="297" t="s">
        <v>340</v>
      </c>
    </row>
    <row r="8" spans="1:9" ht="12">
      <c r="A8" s="34" t="s">
        <v>341</v>
      </c>
      <c r="D8" s="1"/>
      <c r="H8" s="297">
        <v>0</v>
      </c>
      <c r="I8" s="297" t="s">
        <v>340</v>
      </c>
    </row>
    <row r="9" spans="1:9" ht="12">
      <c r="A9" s="34" t="s">
        <v>182</v>
      </c>
      <c r="D9" s="1"/>
      <c r="H9" s="297">
        <v>0</v>
      </c>
      <c r="I9" s="297" t="s">
        <v>340</v>
      </c>
    </row>
    <row r="10" spans="1:9" ht="12">
      <c r="A10" s="366" t="s">
        <v>183</v>
      </c>
      <c r="B10" s="366"/>
      <c r="D10" s="1"/>
      <c r="H10" s="297">
        <v>0</v>
      </c>
      <c r="I10" s="297" t="s">
        <v>184</v>
      </c>
    </row>
    <row r="11" spans="1:10" ht="12">
      <c r="A11" s="298" t="s">
        <v>185</v>
      </c>
      <c r="B11" s="299"/>
      <c r="C11" s="299"/>
      <c r="D11" s="300"/>
      <c r="E11" s="299"/>
      <c r="F11" s="299"/>
      <c r="G11" s="299"/>
      <c r="H11" s="301">
        <v>0</v>
      </c>
      <c r="I11" s="301" t="s">
        <v>184</v>
      </c>
      <c r="J11" s="302"/>
    </row>
    <row r="12" spans="4:10" ht="12">
      <c r="D12" s="1"/>
      <c r="J12" s="302"/>
    </row>
    <row r="13" spans="1:4" ht="12">
      <c r="A13" s="359" t="s">
        <v>186</v>
      </c>
      <c r="B13" s="359"/>
      <c r="D13" s="1"/>
    </row>
    <row r="14" spans="1:4" ht="12">
      <c r="A14" s="366" t="s">
        <v>187</v>
      </c>
      <c r="B14" s="366"/>
      <c r="D14" s="1"/>
    </row>
    <row r="15" spans="1:18" ht="36">
      <c r="A15" s="303" t="s">
        <v>188</v>
      </c>
      <c r="B15" s="304" t="s">
        <v>189</v>
      </c>
      <c r="C15" s="304" t="s">
        <v>190</v>
      </c>
      <c r="D15" s="305" t="s">
        <v>191</v>
      </c>
      <c r="E15" s="304" t="s">
        <v>192</v>
      </c>
      <c r="F15" s="304"/>
      <c r="G15" s="304"/>
      <c r="H15" s="306" t="s">
        <v>193</v>
      </c>
      <c r="I15" s="49"/>
      <c r="J15" s="49"/>
      <c r="K15" s="49"/>
      <c r="L15" s="49"/>
      <c r="M15" s="49"/>
      <c r="N15" s="49"/>
      <c r="O15" s="49"/>
      <c r="P15" s="49"/>
      <c r="Q15" s="49"/>
      <c r="R15" s="49"/>
    </row>
    <row r="16" spans="1:8" ht="12">
      <c r="A16" s="307" t="s">
        <v>194</v>
      </c>
      <c r="B16" s="308"/>
      <c r="C16" t="s">
        <v>304</v>
      </c>
      <c r="D16" s="1" t="s">
        <v>191</v>
      </c>
      <c r="E16">
        <v>0.43</v>
      </c>
      <c r="H16" s="309">
        <v>0</v>
      </c>
    </row>
    <row r="17" spans="1:17" ht="12">
      <c r="A17" s="310" t="s">
        <v>195</v>
      </c>
      <c r="B17" s="311"/>
      <c r="C17" s="312" t="s">
        <v>304</v>
      </c>
      <c r="D17" s="313" t="s">
        <v>191</v>
      </c>
      <c r="E17" s="312">
        <v>0.19</v>
      </c>
      <c r="F17" s="312"/>
      <c r="G17" s="312"/>
      <c r="H17" s="314">
        <v>0</v>
      </c>
      <c r="J17" s="360" t="s">
        <v>196</v>
      </c>
      <c r="K17" s="360"/>
      <c r="L17" s="360"/>
      <c r="M17" s="360"/>
      <c r="N17" s="360"/>
      <c r="O17" s="360"/>
      <c r="P17" s="360"/>
      <c r="Q17" s="360"/>
    </row>
    <row r="18" spans="1:16" ht="12">
      <c r="A18" s="315"/>
      <c r="B18" s="316"/>
      <c r="C18" s="317" t="s">
        <v>303</v>
      </c>
      <c r="D18" s="318" t="s">
        <v>191</v>
      </c>
      <c r="E18" s="317">
        <v>5.43</v>
      </c>
      <c r="F18" s="317"/>
      <c r="G18" s="317"/>
      <c r="H18" s="319">
        <v>0</v>
      </c>
      <c r="J18" s="360" t="s">
        <v>197</v>
      </c>
      <c r="K18" s="360"/>
      <c r="L18" s="360"/>
      <c r="M18" s="360"/>
      <c r="N18" s="360"/>
      <c r="O18" s="360"/>
      <c r="P18" s="360"/>
    </row>
    <row r="19" spans="1:17" ht="12">
      <c r="A19" s="310" t="s">
        <v>198</v>
      </c>
      <c r="B19" s="311"/>
      <c r="C19" s="312" t="s">
        <v>313</v>
      </c>
      <c r="D19" s="313" t="s">
        <v>191</v>
      </c>
      <c r="E19" s="312">
        <v>3190</v>
      </c>
      <c r="F19" s="312"/>
      <c r="G19" s="312"/>
      <c r="H19" s="314">
        <v>0</v>
      </c>
      <c r="J19" s="360" t="s">
        <v>199</v>
      </c>
      <c r="K19" s="360"/>
      <c r="L19" s="360"/>
      <c r="M19" s="360"/>
      <c r="N19" s="360"/>
      <c r="O19" s="360"/>
      <c r="P19" s="360"/>
      <c r="Q19" s="360"/>
    </row>
    <row r="20" spans="1:17" ht="12">
      <c r="A20" s="307"/>
      <c r="B20" s="308"/>
      <c r="C20" t="s">
        <v>304</v>
      </c>
      <c r="D20" s="1" t="s">
        <v>191</v>
      </c>
      <c r="E20">
        <v>0.25</v>
      </c>
      <c r="H20" s="309">
        <v>0</v>
      </c>
      <c r="J20" s="360" t="s">
        <v>200</v>
      </c>
      <c r="K20" s="360"/>
      <c r="L20" s="360"/>
      <c r="M20" s="360"/>
      <c r="N20" s="360"/>
      <c r="O20" s="360"/>
      <c r="P20" s="360"/>
      <c r="Q20" s="360"/>
    </row>
    <row r="21" spans="1:18" ht="12">
      <c r="A21" s="315"/>
      <c r="B21" s="316"/>
      <c r="C21" s="317" t="s">
        <v>320</v>
      </c>
      <c r="D21" s="318" t="s">
        <v>191</v>
      </c>
      <c r="E21" s="317">
        <v>2.69</v>
      </c>
      <c r="F21" s="317"/>
      <c r="G21" s="317"/>
      <c r="H21" s="319">
        <v>0</v>
      </c>
      <c r="J21" s="360" t="s">
        <v>201</v>
      </c>
      <c r="K21" s="360"/>
      <c r="L21" s="360"/>
      <c r="M21" s="360"/>
      <c r="N21" s="360"/>
      <c r="O21" s="360"/>
      <c r="P21" s="360"/>
      <c r="Q21" s="360"/>
      <c r="R21" s="360"/>
    </row>
    <row r="22" spans="1:11" ht="12">
      <c r="A22" s="310" t="s">
        <v>202</v>
      </c>
      <c r="B22" s="311"/>
      <c r="C22" s="312" t="s">
        <v>313</v>
      </c>
      <c r="D22" s="313" t="s">
        <v>191</v>
      </c>
      <c r="E22" s="312">
        <v>3164</v>
      </c>
      <c r="F22" s="312"/>
      <c r="G22" s="312"/>
      <c r="H22" s="314">
        <v>0</v>
      </c>
      <c r="J22" s="360" t="s">
        <v>203</v>
      </c>
      <c r="K22" s="360"/>
    </row>
    <row r="23" spans="1:17" ht="12">
      <c r="A23" s="307"/>
      <c r="B23" s="308"/>
      <c r="C23" t="s">
        <v>304</v>
      </c>
      <c r="D23" s="1" t="s">
        <v>191</v>
      </c>
      <c r="E23">
        <v>0.25</v>
      </c>
      <c r="H23" s="309">
        <v>0</v>
      </c>
      <c r="J23" s="360" t="s">
        <v>204</v>
      </c>
      <c r="K23" s="360"/>
      <c r="L23" s="360"/>
      <c r="M23" s="360"/>
      <c r="N23" s="360"/>
      <c r="O23" s="360"/>
      <c r="P23" s="360"/>
      <c r="Q23" s="360"/>
    </row>
    <row r="24" spans="1:17" ht="12">
      <c r="A24" s="307"/>
      <c r="B24" s="308"/>
      <c r="C24" t="s">
        <v>320</v>
      </c>
      <c r="D24" s="1" t="s">
        <v>191</v>
      </c>
      <c r="E24">
        <v>2.63</v>
      </c>
      <c r="H24" s="309">
        <v>0</v>
      </c>
      <c r="J24" s="360" t="s">
        <v>205</v>
      </c>
      <c r="K24" s="360"/>
      <c r="L24" s="360"/>
      <c r="M24" s="360"/>
      <c r="N24" s="360"/>
      <c r="O24" s="360"/>
      <c r="P24" s="360"/>
      <c r="Q24" s="360"/>
    </row>
    <row r="25" spans="1:10" ht="12">
      <c r="A25" s="315"/>
      <c r="B25" s="316"/>
      <c r="C25" s="317" t="s">
        <v>206</v>
      </c>
      <c r="D25" s="318" t="s">
        <v>191</v>
      </c>
      <c r="E25" s="320">
        <v>11.719543</v>
      </c>
      <c r="F25" s="317"/>
      <c r="G25" s="317"/>
      <c r="H25" s="319">
        <v>0</v>
      </c>
      <c r="J25" s="296"/>
    </row>
    <row r="26" spans="1:17" ht="12">
      <c r="A26" s="310" t="s">
        <v>207</v>
      </c>
      <c r="B26" s="311"/>
      <c r="C26" s="312" t="s">
        <v>313</v>
      </c>
      <c r="D26" s="313" t="s">
        <v>191</v>
      </c>
      <c r="E26" s="312">
        <v>3135</v>
      </c>
      <c r="F26" s="312"/>
      <c r="G26" s="312"/>
      <c r="H26" s="314">
        <v>0</v>
      </c>
      <c r="J26" s="360" t="s">
        <v>208</v>
      </c>
      <c r="K26" s="360"/>
      <c r="L26" s="360"/>
      <c r="M26" s="360"/>
      <c r="N26" s="360"/>
      <c r="O26" s="360"/>
      <c r="P26" s="360"/>
      <c r="Q26" s="360"/>
    </row>
    <row r="27" spans="1:17" ht="12">
      <c r="A27" s="307"/>
      <c r="B27" s="308"/>
      <c r="C27" t="s">
        <v>304</v>
      </c>
      <c r="D27" s="1" t="s">
        <v>191</v>
      </c>
      <c r="E27">
        <v>0.24</v>
      </c>
      <c r="H27" s="309">
        <v>0</v>
      </c>
      <c r="J27" s="360" t="s">
        <v>209</v>
      </c>
      <c r="K27" s="360"/>
      <c r="L27" s="360"/>
      <c r="M27" s="360"/>
      <c r="N27" s="360"/>
      <c r="O27" s="360"/>
      <c r="P27" s="360"/>
      <c r="Q27" s="360"/>
    </row>
    <row r="28" spans="1:17" ht="12">
      <c r="A28" s="307"/>
      <c r="B28" s="308"/>
      <c r="C28" t="s">
        <v>320</v>
      </c>
      <c r="D28" s="1" t="s">
        <v>191</v>
      </c>
      <c r="E28">
        <v>2.3</v>
      </c>
      <c r="H28" s="309">
        <v>0</v>
      </c>
      <c r="J28" s="360" t="s">
        <v>210</v>
      </c>
      <c r="K28" s="360"/>
      <c r="L28" s="360"/>
      <c r="M28" s="360"/>
      <c r="N28" s="360"/>
      <c r="O28" s="360"/>
      <c r="P28" s="360"/>
      <c r="Q28" s="360"/>
    </row>
    <row r="29" spans="1:10" ht="12">
      <c r="A29" s="307"/>
      <c r="B29" s="308"/>
      <c r="C29" s="317" t="s">
        <v>206</v>
      </c>
      <c r="D29" s="318" t="s">
        <v>191</v>
      </c>
      <c r="E29" s="320">
        <v>10.24903</v>
      </c>
      <c r="H29" s="309"/>
      <c r="J29" s="296"/>
    </row>
    <row r="30" spans="1:17" ht="12">
      <c r="A30" s="310" t="s">
        <v>211</v>
      </c>
      <c r="B30" s="311"/>
      <c r="C30" s="312" t="s">
        <v>313</v>
      </c>
      <c r="D30" s="313" t="s">
        <v>191</v>
      </c>
      <c r="E30" s="312">
        <v>3223</v>
      </c>
      <c r="F30" s="312"/>
      <c r="G30" s="312"/>
      <c r="H30" s="314">
        <v>0</v>
      </c>
      <c r="J30" s="360" t="s">
        <v>212</v>
      </c>
      <c r="K30" s="360"/>
      <c r="L30" s="360"/>
      <c r="M30" s="360"/>
      <c r="N30" s="360"/>
      <c r="O30" s="360"/>
      <c r="P30" s="360"/>
      <c r="Q30" s="360"/>
    </row>
    <row r="31" spans="1:17" ht="12">
      <c r="A31" s="315"/>
      <c r="B31" s="316"/>
      <c r="C31" s="317" t="s">
        <v>304</v>
      </c>
      <c r="D31" s="318" t="s">
        <v>191</v>
      </c>
      <c r="E31" s="317">
        <v>0.27</v>
      </c>
      <c r="F31" s="317"/>
      <c r="G31" s="317"/>
      <c r="H31" s="319">
        <v>0</v>
      </c>
      <c r="J31" s="360" t="s">
        <v>213</v>
      </c>
      <c r="K31" s="360"/>
      <c r="L31" s="360"/>
      <c r="M31" s="360"/>
      <c r="N31" s="360"/>
      <c r="O31" s="360"/>
      <c r="P31" s="360"/>
      <c r="Q31" s="360"/>
    </row>
    <row r="32" spans="1:17" ht="12">
      <c r="A32" s="310" t="s">
        <v>214</v>
      </c>
      <c r="B32" s="311"/>
      <c r="C32" s="312" t="s">
        <v>313</v>
      </c>
      <c r="D32" s="313" t="s">
        <v>191</v>
      </c>
      <c r="E32" s="312">
        <v>2548</v>
      </c>
      <c r="F32" s="312"/>
      <c r="G32" s="312"/>
      <c r="H32" s="314">
        <v>0</v>
      </c>
      <c r="J32" s="360" t="s">
        <v>215</v>
      </c>
      <c r="K32" s="360"/>
      <c r="L32" s="360"/>
      <c r="M32" s="360"/>
      <c r="N32" s="360"/>
      <c r="O32" s="360"/>
      <c r="P32" s="360"/>
      <c r="Q32" s="360"/>
    </row>
    <row r="33" spans="1:11" ht="12">
      <c r="A33" s="315"/>
      <c r="B33" s="316"/>
      <c r="C33" s="317" t="s">
        <v>304</v>
      </c>
      <c r="D33" s="318" t="s">
        <v>191</v>
      </c>
      <c r="E33" s="317">
        <v>0.32</v>
      </c>
      <c r="F33" s="317"/>
      <c r="G33" s="317"/>
      <c r="H33" s="319">
        <v>0</v>
      </c>
      <c r="J33" s="360" t="s">
        <v>216</v>
      </c>
      <c r="K33" s="360"/>
    </row>
    <row r="34" spans="1:8" ht="12">
      <c r="A34" s="310" t="s">
        <v>217</v>
      </c>
      <c r="B34" s="311"/>
      <c r="C34" s="312" t="s">
        <v>304</v>
      </c>
      <c r="D34" s="313" t="s">
        <v>191</v>
      </c>
      <c r="E34" s="312">
        <v>0.214</v>
      </c>
      <c r="F34" s="312"/>
      <c r="G34" s="312"/>
      <c r="H34" s="314">
        <v>0</v>
      </c>
    </row>
    <row r="35" spans="1:8" ht="12">
      <c r="A35" s="307"/>
      <c r="B35" s="308"/>
      <c r="C35" t="s">
        <v>303</v>
      </c>
      <c r="D35" s="1" t="s">
        <v>191</v>
      </c>
      <c r="E35">
        <v>6.27</v>
      </c>
      <c r="H35" s="309">
        <v>0</v>
      </c>
    </row>
    <row r="36" spans="1:8" ht="12">
      <c r="A36" s="315"/>
      <c r="B36" s="316"/>
      <c r="C36" s="317" t="s">
        <v>320</v>
      </c>
      <c r="D36" s="318" t="s">
        <v>191</v>
      </c>
      <c r="E36" s="317">
        <v>1.49</v>
      </c>
      <c r="F36" s="317"/>
      <c r="G36" s="317"/>
      <c r="H36" s="319">
        <v>0</v>
      </c>
    </row>
    <row r="37" spans="1:8" ht="12">
      <c r="A37" s="310" t="s">
        <v>218</v>
      </c>
      <c r="B37" s="311"/>
      <c r="C37" s="312" t="s">
        <v>313</v>
      </c>
      <c r="D37" s="313" t="s">
        <v>191</v>
      </c>
      <c r="E37" s="312">
        <v>2736</v>
      </c>
      <c r="F37" s="312"/>
      <c r="G37" s="312"/>
      <c r="H37" s="314">
        <v>0</v>
      </c>
    </row>
    <row r="38" spans="1:8" ht="12">
      <c r="A38" s="315"/>
      <c r="B38" s="316"/>
      <c r="C38" s="317" t="s">
        <v>304</v>
      </c>
      <c r="D38" s="318" t="s">
        <v>191</v>
      </c>
      <c r="E38" s="317">
        <v>0.331</v>
      </c>
      <c r="F38" s="317"/>
      <c r="G38" s="317"/>
      <c r="H38" s="319">
        <v>0</v>
      </c>
    </row>
    <row r="39" spans="1:8" ht="12">
      <c r="A39" s="310" t="s">
        <v>219</v>
      </c>
      <c r="B39" s="311"/>
      <c r="C39" s="312" t="s">
        <v>313</v>
      </c>
      <c r="D39" s="313" t="s">
        <v>191</v>
      </c>
      <c r="E39" s="312">
        <v>3128</v>
      </c>
      <c r="F39" s="312"/>
      <c r="G39" s="312"/>
      <c r="H39" s="314">
        <v>0</v>
      </c>
    </row>
    <row r="40" spans="1:8" ht="12">
      <c r="A40" s="307"/>
      <c r="B40" s="308"/>
      <c r="C40" t="s">
        <v>304</v>
      </c>
      <c r="D40" s="1" t="s">
        <v>191</v>
      </c>
      <c r="E40">
        <v>0.24</v>
      </c>
      <c r="H40" s="309">
        <v>0</v>
      </c>
    </row>
    <row r="41" spans="1:8" ht="12">
      <c r="A41" s="315"/>
      <c r="B41" s="316"/>
      <c r="C41" s="317" t="s">
        <v>320</v>
      </c>
      <c r="D41" s="318" t="s">
        <v>191</v>
      </c>
      <c r="E41" s="317">
        <v>2.24</v>
      </c>
      <c r="F41" s="317"/>
      <c r="G41" s="317"/>
      <c r="H41" s="319">
        <v>0</v>
      </c>
    </row>
    <row r="42" spans="1:8" ht="12">
      <c r="A42" s="310" t="s">
        <v>220</v>
      </c>
      <c r="B42" s="311"/>
      <c r="C42" s="312" t="s">
        <v>313</v>
      </c>
      <c r="D42" s="313" t="s">
        <v>191</v>
      </c>
      <c r="E42" s="312">
        <v>3150</v>
      </c>
      <c r="F42" s="312"/>
      <c r="G42" s="312"/>
      <c r="H42" s="314">
        <v>0</v>
      </c>
    </row>
    <row r="43" spans="1:8" ht="12">
      <c r="A43" s="307"/>
      <c r="B43" s="308"/>
      <c r="C43" t="s">
        <v>304</v>
      </c>
      <c r="D43" s="1" t="s">
        <v>191</v>
      </c>
      <c r="E43">
        <v>0.25</v>
      </c>
      <c r="H43" s="309">
        <v>0</v>
      </c>
    </row>
    <row r="44" spans="1:8" ht="12">
      <c r="A44" s="315"/>
      <c r="B44" s="316"/>
      <c r="C44" s="317" t="s">
        <v>320</v>
      </c>
      <c r="D44" s="318" t="s">
        <v>191</v>
      </c>
      <c r="E44" s="317">
        <v>2.52</v>
      </c>
      <c r="F44" s="317"/>
      <c r="G44" s="317"/>
      <c r="H44" s="319">
        <v>0</v>
      </c>
    </row>
    <row r="45" spans="1:8" ht="12">
      <c r="A45" s="310" t="s">
        <v>221</v>
      </c>
      <c r="B45" s="311"/>
      <c r="C45" s="312" t="s">
        <v>313</v>
      </c>
      <c r="D45" s="313" t="s">
        <v>191</v>
      </c>
      <c r="E45" s="312">
        <v>2897</v>
      </c>
      <c r="F45" s="312"/>
      <c r="G45" s="312"/>
      <c r="H45" s="314">
        <v>0</v>
      </c>
    </row>
    <row r="46" spans="1:8" ht="12">
      <c r="A46" s="315"/>
      <c r="B46" s="316"/>
      <c r="C46" s="317" t="s">
        <v>304</v>
      </c>
      <c r="D46" s="318" t="s">
        <v>191</v>
      </c>
      <c r="E46" s="317">
        <v>0.21</v>
      </c>
      <c r="F46" s="317"/>
      <c r="G46" s="317"/>
      <c r="H46" s="319">
        <v>0</v>
      </c>
    </row>
    <row r="47" spans="1:8" ht="12">
      <c r="A47" s="310" t="s">
        <v>222</v>
      </c>
      <c r="B47" s="311"/>
      <c r="C47" s="312" t="s">
        <v>313</v>
      </c>
      <c r="D47" s="313" t="s">
        <v>191</v>
      </c>
      <c r="E47" s="312">
        <v>3131</v>
      </c>
      <c r="F47" s="312"/>
      <c r="G47" s="312"/>
      <c r="H47" s="314">
        <v>0</v>
      </c>
    </row>
    <row r="48" spans="1:8" ht="12">
      <c r="A48" s="315"/>
      <c r="B48" s="316"/>
      <c r="C48" s="317" t="s">
        <v>304</v>
      </c>
      <c r="D48" s="318" t="s">
        <v>191</v>
      </c>
      <c r="E48" s="317">
        <v>0.24</v>
      </c>
      <c r="F48" s="317"/>
      <c r="G48" s="317"/>
      <c r="H48" s="319">
        <v>0</v>
      </c>
    </row>
    <row r="49" spans="1:8" ht="12">
      <c r="A49" s="310" t="s">
        <v>223</v>
      </c>
      <c r="B49" s="311"/>
      <c r="C49" s="312" t="s">
        <v>313</v>
      </c>
      <c r="D49" s="313" t="s">
        <v>191</v>
      </c>
      <c r="E49" s="312">
        <v>3171</v>
      </c>
      <c r="F49" s="312"/>
      <c r="G49" s="312"/>
      <c r="H49" s="314">
        <v>0</v>
      </c>
    </row>
    <row r="50" spans="1:8" ht="12">
      <c r="A50" s="315"/>
      <c r="B50" s="316"/>
      <c r="C50" s="317" t="s">
        <v>304</v>
      </c>
      <c r="D50" s="318" t="s">
        <v>191</v>
      </c>
      <c r="E50" s="317">
        <v>0.25</v>
      </c>
      <c r="F50" s="317"/>
      <c r="G50" s="317"/>
      <c r="H50" s="319">
        <v>0</v>
      </c>
    </row>
    <row r="51" spans="1:8" ht="12">
      <c r="A51" s="310" t="s">
        <v>254</v>
      </c>
      <c r="B51" s="311"/>
      <c r="C51" s="312" t="s">
        <v>313</v>
      </c>
      <c r="D51" s="313" t="s">
        <v>191</v>
      </c>
      <c r="E51" s="312">
        <v>3410</v>
      </c>
      <c r="F51" s="312"/>
      <c r="G51" s="312"/>
      <c r="H51" s="314">
        <v>0</v>
      </c>
    </row>
    <row r="52" spans="1:8" ht="12">
      <c r="A52" s="315"/>
      <c r="B52" s="316"/>
      <c r="C52" s="317" t="s">
        <v>304</v>
      </c>
      <c r="D52" s="318" t="s">
        <v>191</v>
      </c>
      <c r="E52" s="317">
        <v>0.34</v>
      </c>
      <c r="F52" s="317"/>
      <c r="G52" s="317"/>
      <c r="H52" s="319">
        <v>0</v>
      </c>
    </row>
    <row r="53" spans="1:8" ht="12">
      <c r="A53" s="310" t="s">
        <v>224</v>
      </c>
      <c r="B53" s="311"/>
      <c r="C53" s="312" t="s">
        <v>304</v>
      </c>
      <c r="D53" s="313" t="s">
        <v>191</v>
      </c>
      <c r="E53" s="312">
        <v>0.24</v>
      </c>
      <c r="F53" s="312"/>
      <c r="G53" s="312"/>
      <c r="H53" s="314">
        <v>0</v>
      </c>
    </row>
    <row r="54" spans="1:8" ht="12">
      <c r="A54" s="315"/>
      <c r="B54" s="316"/>
      <c r="C54" s="317" t="s">
        <v>303</v>
      </c>
      <c r="D54" s="318" t="s">
        <v>191</v>
      </c>
      <c r="E54" s="317">
        <v>7.16</v>
      </c>
      <c r="F54" s="317"/>
      <c r="G54" s="317"/>
      <c r="H54" s="319">
        <v>0</v>
      </c>
    </row>
    <row r="55" spans="1:8" ht="12">
      <c r="A55" s="315" t="s">
        <v>225</v>
      </c>
      <c r="B55" s="316"/>
      <c r="C55" s="317"/>
      <c r="D55" s="318" t="s">
        <v>191</v>
      </c>
      <c r="E55" s="317">
        <v>0</v>
      </c>
      <c r="F55" s="317"/>
      <c r="G55" s="317"/>
      <c r="H55" s="319">
        <v>0</v>
      </c>
    </row>
    <row r="56" spans="1:8" ht="12">
      <c r="A56" s="321" t="s">
        <v>226</v>
      </c>
      <c r="B56" s="322"/>
      <c r="C56" s="322"/>
      <c r="D56" s="323"/>
      <c r="E56" s="322"/>
      <c r="F56" s="322"/>
      <c r="G56" s="322"/>
      <c r="H56" s="324">
        <v>0</v>
      </c>
    </row>
    <row r="57" ht="12">
      <c r="D57" s="1"/>
    </row>
    <row r="58" ht="12">
      <c r="D58" s="1"/>
    </row>
    <row r="59" ht="12">
      <c r="D59" s="1"/>
    </row>
    <row r="60" spans="1:4" ht="12">
      <c r="A60" s="34" t="s">
        <v>227</v>
      </c>
      <c r="B60" s="296" t="s">
        <v>228</v>
      </c>
      <c r="D60" s="1"/>
    </row>
    <row r="61" ht="12">
      <c r="D61" s="1"/>
    </row>
    <row r="62" spans="1:5" ht="12">
      <c r="A62" s="367" t="s">
        <v>229</v>
      </c>
      <c r="B62" s="367"/>
      <c r="C62" s="367"/>
      <c r="D62" s="367"/>
      <c r="E62" s="367"/>
    </row>
    <row r="63" spans="1:8" ht="12">
      <c r="A63" s="325" t="s">
        <v>230</v>
      </c>
      <c r="B63" s="326" t="s">
        <v>231</v>
      </c>
      <c r="C63" s="326" t="s">
        <v>190</v>
      </c>
      <c r="D63" s="327"/>
      <c r="E63" s="368" t="s">
        <v>192</v>
      </c>
      <c r="F63" s="368"/>
      <c r="G63" s="322"/>
      <c r="H63" s="328" t="s">
        <v>193</v>
      </c>
    </row>
    <row r="64" spans="1:17" ht="12">
      <c r="A64" s="307" t="s">
        <v>207</v>
      </c>
      <c r="B64" s="308"/>
      <c r="C64" t="s">
        <v>320</v>
      </c>
      <c r="D64" s="1" t="s">
        <v>191</v>
      </c>
      <c r="E64">
        <v>2.3</v>
      </c>
      <c r="H64" s="309">
        <v>0</v>
      </c>
      <c r="J64" s="360" t="s">
        <v>232</v>
      </c>
      <c r="K64" s="360"/>
      <c r="L64" s="360"/>
      <c r="M64" s="360"/>
      <c r="N64" s="360"/>
      <c r="O64" s="360"/>
      <c r="P64" s="360"/>
      <c r="Q64" s="360"/>
    </row>
    <row r="65" spans="1:18" ht="12">
      <c r="A65" s="307" t="s">
        <v>202</v>
      </c>
      <c r="B65" s="308"/>
      <c r="C65" t="s">
        <v>320</v>
      </c>
      <c r="D65" s="1" t="s">
        <v>191</v>
      </c>
      <c r="E65">
        <v>2.63</v>
      </c>
      <c r="H65" s="309">
        <v>0</v>
      </c>
      <c r="J65" s="360" t="s">
        <v>137</v>
      </c>
      <c r="K65" s="360"/>
      <c r="L65" s="360"/>
      <c r="M65" s="360"/>
      <c r="N65" s="360"/>
      <c r="O65" s="360"/>
      <c r="P65" s="360"/>
      <c r="Q65" s="360"/>
      <c r="R65" s="360"/>
    </row>
    <row r="66" spans="1:15" ht="12">
      <c r="A66" s="307" t="s">
        <v>138</v>
      </c>
      <c r="B66" s="308"/>
      <c r="C66" t="s">
        <v>310</v>
      </c>
      <c r="D66" s="1" t="s">
        <v>191</v>
      </c>
      <c r="E66">
        <v>2.65</v>
      </c>
      <c r="H66" s="309">
        <v>0</v>
      </c>
      <c r="J66" s="360" t="s">
        <v>139</v>
      </c>
      <c r="K66" s="360"/>
      <c r="L66" s="360"/>
      <c r="M66" s="360"/>
      <c r="N66" s="360"/>
      <c r="O66" s="360"/>
    </row>
    <row r="67" spans="1:8" ht="12">
      <c r="A67" s="315" t="s">
        <v>140</v>
      </c>
      <c r="B67" s="316"/>
      <c r="C67" s="317" t="s">
        <v>320</v>
      </c>
      <c r="D67" s="318" t="s">
        <v>191</v>
      </c>
      <c r="E67" s="317">
        <v>1.49</v>
      </c>
      <c r="F67" s="317"/>
      <c r="G67" s="317"/>
      <c r="H67" s="319">
        <v>0</v>
      </c>
    </row>
    <row r="68" spans="1:8" ht="12">
      <c r="A68" s="321" t="s">
        <v>226</v>
      </c>
      <c r="B68" s="322"/>
      <c r="C68" s="322"/>
      <c r="D68" s="323"/>
      <c r="E68" s="322"/>
      <c r="F68" s="322"/>
      <c r="G68" s="322"/>
      <c r="H68" s="324">
        <v>0</v>
      </c>
    </row>
    <row r="69" ht="12">
      <c r="D69" s="1"/>
    </row>
    <row r="70" spans="1:8" ht="12">
      <c r="A70" s="367" t="s">
        <v>141</v>
      </c>
      <c r="B70" s="367"/>
      <c r="C70" s="367"/>
      <c r="D70" s="367"/>
      <c r="E70" s="367"/>
      <c r="F70" s="367"/>
      <c r="G70" s="367"/>
      <c r="H70" s="367"/>
    </row>
    <row r="71" spans="1:8" ht="12">
      <c r="A71" s="329" t="s">
        <v>142</v>
      </c>
      <c r="B71" s="330" t="s">
        <v>143</v>
      </c>
      <c r="C71" s="330" t="s">
        <v>190</v>
      </c>
      <c r="D71" s="232" t="s">
        <v>191</v>
      </c>
      <c r="E71" s="368" t="s">
        <v>192</v>
      </c>
      <c r="F71" s="368"/>
      <c r="G71" s="312"/>
      <c r="H71" s="331" t="s">
        <v>193</v>
      </c>
    </row>
    <row r="72" spans="1:17" ht="12">
      <c r="A72" s="310" t="s">
        <v>144</v>
      </c>
      <c r="B72" s="311"/>
      <c r="C72" s="312" t="s">
        <v>145</v>
      </c>
      <c r="D72" s="313" t="s">
        <v>191</v>
      </c>
      <c r="E72" s="312">
        <v>0.26</v>
      </c>
      <c r="F72" s="312"/>
      <c r="G72" s="312"/>
      <c r="H72" s="314">
        <v>0</v>
      </c>
      <c r="J72" s="360" t="s">
        <v>146</v>
      </c>
      <c r="K72" s="360"/>
      <c r="L72" s="360"/>
      <c r="M72" s="360"/>
      <c r="N72" s="360"/>
      <c r="O72" s="360"/>
      <c r="P72" s="360"/>
      <c r="Q72" s="360"/>
    </row>
    <row r="73" spans="1:17" ht="12">
      <c r="A73" s="315" t="s">
        <v>147</v>
      </c>
      <c r="B73" s="316"/>
      <c r="C73" s="317" t="s">
        <v>148</v>
      </c>
      <c r="D73" s="318" t="s">
        <v>191</v>
      </c>
      <c r="E73" s="317">
        <v>0.16</v>
      </c>
      <c r="F73" s="317"/>
      <c r="G73" s="317"/>
      <c r="H73" s="319">
        <v>0</v>
      </c>
      <c r="J73" s="360" t="s">
        <v>149</v>
      </c>
      <c r="K73" s="360"/>
      <c r="L73" s="360"/>
      <c r="M73" s="360"/>
      <c r="N73" s="360"/>
      <c r="O73" s="360"/>
      <c r="P73" s="360"/>
      <c r="Q73" s="360"/>
    </row>
    <row r="74" spans="1:17" ht="12">
      <c r="A74" s="310" t="s">
        <v>150</v>
      </c>
      <c r="B74" s="311"/>
      <c r="C74" s="312" t="s">
        <v>145</v>
      </c>
      <c r="D74" s="313" t="s">
        <v>191</v>
      </c>
      <c r="E74" s="312">
        <v>0.3</v>
      </c>
      <c r="F74" s="312"/>
      <c r="G74" s="312"/>
      <c r="H74" s="314">
        <v>0</v>
      </c>
      <c r="J74" s="360" t="s">
        <v>151</v>
      </c>
      <c r="K74" s="360"/>
      <c r="L74" s="360"/>
      <c r="M74" s="360"/>
      <c r="N74" s="360"/>
      <c r="O74" s="360"/>
      <c r="P74" s="360"/>
      <c r="Q74" s="360"/>
    </row>
    <row r="75" spans="1:11" ht="12">
      <c r="A75" s="315" t="s">
        <v>152</v>
      </c>
      <c r="B75" s="316"/>
      <c r="C75" s="317" t="s">
        <v>148</v>
      </c>
      <c r="D75" s="318" t="s">
        <v>191</v>
      </c>
      <c r="E75" s="317">
        <v>0.19</v>
      </c>
      <c r="F75" s="317"/>
      <c r="G75" s="317"/>
      <c r="H75" s="319">
        <v>0</v>
      </c>
      <c r="J75" s="360" t="s">
        <v>153</v>
      </c>
      <c r="K75" s="360"/>
    </row>
    <row r="76" spans="1:8" ht="12">
      <c r="A76" s="310" t="s">
        <v>154</v>
      </c>
      <c r="B76" s="311"/>
      <c r="C76" s="312" t="s">
        <v>145</v>
      </c>
      <c r="D76" s="313" t="s">
        <v>191</v>
      </c>
      <c r="E76" s="312">
        <v>0.35</v>
      </c>
      <c r="F76" s="312"/>
      <c r="G76" s="312"/>
      <c r="H76" s="314">
        <v>0</v>
      </c>
    </row>
    <row r="77" spans="1:8" ht="12">
      <c r="A77" s="315" t="s">
        <v>155</v>
      </c>
      <c r="B77" s="316"/>
      <c r="C77" s="317" t="s">
        <v>148</v>
      </c>
      <c r="D77" s="318" t="s">
        <v>191</v>
      </c>
      <c r="E77" s="317">
        <v>0.22</v>
      </c>
      <c r="F77" s="317"/>
      <c r="G77" s="317"/>
      <c r="H77" s="319">
        <v>0</v>
      </c>
    </row>
    <row r="78" spans="1:8" ht="12">
      <c r="A78" s="307" t="s">
        <v>156</v>
      </c>
      <c r="B78" s="308"/>
      <c r="C78" t="s">
        <v>145</v>
      </c>
      <c r="D78" s="1" t="s">
        <v>191</v>
      </c>
      <c r="E78">
        <v>0.29</v>
      </c>
      <c r="H78" s="309">
        <v>0</v>
      </c>
    </row>
    <row r="79" spans="1:8" ht="12">
      <c r="A79" s="315"/>
      <c r="B79" s="316"/>
      <c r="C79" s="317" t="s">
        <v>148</v>
      </c>
      <c r="D79" s="318" t="s">
        <v>191</v>
      </c>
      <c r="E79" s="317">
        <v>0.18</v>
      </c>
      <c r="F79" s="317"/>
      <c r="G79" s="317"/>
      <c r="H79" s="319">
        <v>0</v>
      </c>
    </row>
    <row r="80" spans="1:8" ht="12">
      <c r="A80" s="321" t="s">
        <v>226</v>
      </c>
      <c r="B80" s="322"/>
      <c r="C80" s="322"/>
      <c r="D80" s="323"/>
      <c r="E80" s="322"/>
      <c r="F80" s="322"/>
      <c r="G80" s="322"/>
      <c r="H80" s="324">
        <v>0</v>
      </c>
    </row>
    <row r="81" spans="1:8" ht="12">
      <c r="A81" s="34"/>
      <c r="D81" s="1"/>
      <c r="H81" s="332"/>
    </row>
    <row r="82" spans="1:8" ht="12">
      <c r="A82" s="367" t="s">
        <v>157</v>
      </c>
      <c r="B82" s="367"/>
      <c r="C82" s="367"/>
      <c r="D82" s="367"/>
      <c r="E82" s="367"/>
      <c r="F82" s="367"/>
      <c r="G82" s="367"/>
      <c r="H82" s="367"/>
    </row>
    <row r="83" spans="1:8" ht="12">
      <c r="A83" s="329" t="s">
        <v>158</v>
      </c>
      <c r="B83" s="330" t="s">
        <v>159</v>
      </c>
      <c r="C83" s="330" t="s">
        <v>190</v>
      </c>
      <c r="D83" s="232" t="s">
        <v>191</v>
      </c>
      <c r="E83" s="368" t="s">
        <v>192</v>
      </c>
      <c r="F83" s="368"/>
      <c r="G83" s="330"/>
      <c r="H83" s="331" t="s">
        <v>193</v>
      </c>
    </row>
    <row r="84" spans="1:17" ht="12">
      <c r="A84" s="310" t="s">
        <v>160</v>
      </c>
      <c r="B84" s="311"/>
      <c r="C84" s="312" t="s">
        <v>145</v>
      </c>
      <c r="D84" s="313" t="s">
        <v>191</v>
      </c>
      <c r="E84" s="312">
        <v>0.26</v>
      </c>
      <c r="F84" s="312"/>
      <c r="G84" s="312"/>
      <c r="H84" s="314">
        <v>0</v>
      </c>
      <c r="J84" s="360" t="s">
        <v>146</v>
      </c>
      <c r="K84" s="360"/>
      <c r="L84" s="360"/>
      <c r="M84" s="360"/>
      <c r="N84" s="360"/>
      <c r="O84" s="360"/>
      <c r="P84" s="360"/>
      <c r="Q84" s="360"/>
    </row>
    <row r="85" spans="1:17" ht="12">
      <c r="A85" s="315" t="s">
        <v>161</v>
      </c>
      <c r="B85" s="316"/>
      <c r="C85" s="317" t="s">
        <v>148</v>
      </c>
      <c r="D85" s="318" t="s">
        <v>191</v>
      </c>
      <c r="E85" s="317">
        <v>0.16</v>
      </c>
      <c r="F85" s="317"/>
      <c r="G85" s="317"/>
      <c r="H85" s="319">
        <v>0</v>
      </c>
      <c r="J85" s="360" t="s">
        <v>149</v>
      </c>
      <c r="K85" s="360"/>
      <c r="L85" s="360"/>
      <c r="M85" s="360"/>
      <c r="N85" s="360"/>
      <c r="O85" s="360"/>
      <c r="P85" s="360"/>
      <c r="Q85" s="360"/>
    </row>
    <row r="86" spans="1:17" ht="12">
      <c r="A86" s="310" t="s">
        <v>162</v>
      </c>
      <c r="B86" s="311"/>
      <c r="C86" s="312" t="s">
        <v>145</v>
      </c>
      <c r="D86" s="313" t="s">
        <v>191</v>
      </c>
      <c r="E86" s="312">
        <v>0.31</v>
      </c>
      <c r="F86" s="312"/>
      <c r="G86" s="312"/>
      <c r="H86" s="314">
        <v>0</v>
      </c>
      <c r="J86" s="360" t="s">
        <v>151</v>
      </c>
      <c r="K86" s="360"/>
      <c r="L86" s="360"/>
      <c r="M86" s="360"/>
      <c r="N86" s="360"/>
      <c r="O86" s="360"/>
      <c r="P86" s="360"/>
      <c r="Q86" s="360"/>
    </row>
    <row r="87" spans="1:11" ht="12">
      <c r="A87" s="315" t="s">
        <v>163</v>
      </c>
      <c r="B87" s="316"/>
      <c r="C87" s="317" t="s">
        <v>148</v>
      </c>
      <c r="D87" s="318" t="s">
        <v>191</v>
      </c>
      <c r="E87" s="317">
        <v>0.19</v>
      </c>
      <c r="F87" s="317"/>
      <c r="G87" s="317"/>
      <c r="H87" s="319">
        <v>0</v>
      </c>
      <c r="J87" s="360" t="s">
        <v>153</v>
      </c>
      <c r="K87" s="360"/>
    </row>
    <row r="88" spans="1:8" ht="12">
      <c r="A88" s="307" t="s">
        <v>164</v>
      </c>
      <c r="B88" s="308"/>
      <c r="C88" t="s">
        <v>145</v>
      </c>
      <c r="D88" s="1" t="s">
        <v>191</v>
      </c>
      <c r="E88">
        <v>0.27</v>
      </c>
      <c r="H88" s="309">
        <v>0</v>
      </c>
    </row>
    <row r="89" spans="1:8" ht="12">
      <c r="A89" s="315"/>
      <c r="B89" s="316"/>
      <c r="C89" s="317" t="s">
        <v>148</v>
      </c>
      <c r="D89" s="318" t="s">
        <v>191</v>
      </c>
      <c r="E89" s="317">
        <v>0.17</v>
      </c>
      <c r="F89" s="317"/>
      <c r="G89" s="317"/>
      <c r="H89" s="319">
        <v>0</v>
      </c>
    </row>
    <row r="90" spans="1:8" ht="12">
      <c r="A90" s="321" t="s">
        <v>226</v>
      </c>
      <c r="B90" s="322"/>
      <c r="C90" s="322"/>
      <c r="D90" s="323"/>
      <c r="E90" s="322"/>
      <c r="F90" s="322"/>
      <c r="G90" s="322"/>
      <c r="H90" s="324">
        <v>0</v>
      </c>
    </row>
    <row r="91" spans="4:8" ht="12">
      <c r="D91" s="1"/>
      <c r="H91" s="333"/>
    </row>
    <row r="92" spans="1:8" ht="12">
      <c r="A92" s="367" t="s">
        <v>165</v>
      </c>
      <c r="B92" s="367"/>
      <c r="C92" s="367"/>
      <c r="D92" s="367"/>
      <c r="E92" s="367"/>
      <c r="F92" s="367"/>
      <c r="G92" s="367"/>
      <c r="H92" s="367"/>
    </row>
    <row r="93" spans="1:8" ht="12">
      <c r="A93" s="310" t="s">
        <v>166</v>
      </c>
      <c r="B93" s="312" t="s">
        <v>167</v>
      </c>
      <c r="C93" s="369" t="s">
        <v>168</v>
      </c>
      <c r="D93" s="369"/>
      <c r="E93" s="369" t="s">
        <v>169</v>
      </c>
      <c r="F93" s="369"/>
      <c r="G93" s="312" t="s">
        <v>170</v>
      </c>
      <c r="H93" s="292" t="s">
        <v>193</v>
      </c>
    </row>
    <row r="94" spans="1:17" ht="12">
      <c r="A94" s="310" t="s">
        <v>171</v>
      </c>
      <c r="B94" s="334">
        <v>0</v>
      </c>
      <c r="C94" s="311"/>
      <c r="D94" s="313" t="s">
        <v>191</v>
      </c>
      <c r="E94" s="312">
        <v>0.236</v>
      </c>
      <c r="F94" s="312" t="s">
        <v>191</v>
      </c>
      <c r="G94" s="312">
        <v>2.63</v>
      </c>
      <c r="H94" s="314">
        <v>0</v>
      </c>
      <c r="J94" s="360" t="s">
        <v>172</v>
      </c>
      <c r="K94" s="360"/>
      <c r="L94" s="360"/>
      <c r="M94" s="360"/>
      <c r="N94" s="360"/>
      <c r="O94" s="360"/>
      <c r="P94" s="360"/>
      <c r="Q94" s="360"/>
    </row>
    <row r="95" spans="1:17" ht="12">
      <c r="A95" s="307"/>
      <c r="B95" s="335">
        <v>0.25</v>
      </c>
      <c r="C95" s="308"/>
      <c r="D95" s="1" t="s">
        <v>191</v>
      </c>
      <c r="E95">
        <v>0.262</v>
      </c>
      <c r="F95" t="s">
        <v>191</v>
      </c>
      <c r="G95">
        <v>2.63</v>
      </c>
      <c r="H95" s="309">
        <v>0</v>
      </c>
      <c r="J95" s="360" t="s">
        <v>173</v>
      </c>
      <c r="K95" s="360"/>
      <c r="L95" s="360"/>
      <c r="M95" s="360"/>
      <c r="N95" s="360"/>
      <c r="O95" s="360"/>
      <c r="P95" s="360"/>
      <c r="Q95" s="360"/>
    </row>
    <row r="96" spans="1:17" ht="12">
      <c r="A96" s="307"/>
      <c r="B96" s="335">
        <v>0.5</v>
      </c>
      <c r="C96" s="308"/>
      <c r="D96" s="1" t="s">
        <v>191</v>
      </c>
      <c r="E96">
        <v>0.288</v>
      </c>
      <c r="F96" t="s">
        <v>191</v>
      </c>
      <c r="G96">
        <v>2.63</v>
      </c>
      <c r="H96" s="309">
        <v>0</v>
      </c>
      <c r="J96" s="360" t="s">
        <v>174</v>
      </c>
      <c r="K96" s="360"/>
      <c r="L96" s="360"/>
      <c r="M96" s="360"/>
      <c r="N96" s="360"/>
      <c r="O96" s="360"/>
      <c r="P96" s="360"/>
      <c r="Q96" s="360"/>
    </row>
    <row r="97" spans="1:17" ht="12">
      <c r="A97" s="307"/>
      <c r="B97" s="335">
        <v>0.75</v>
      </c>
      <c r="C97" s="308"/>
      <c r="D97" s="1" t="s">
        <v>191</v>
      </c>
      <c r="E97">
        <v>0.314</v>
      </c>
      <c r="F97" t="s">
        <v>191</v>
      </c>
      <c r="G97">
        <v>2.63</v>
      </c>
      <c r="H97" s="309"/>
      <c r="J97" s="360" t="s">
        <v>175</v>
      </c>
      <c r="K97" s="360"/>
      <c r="L97" s="360"/>
      <c r="M97" s="360"/>
      <c r="N97" s="360"/>
      <c r="O97" s="360"/>
      <c r="P97" s="360"/>
      <c r="Q97" s="360"/>
    </row>
    <row r="98" spans="1:17" ht="12">
      <c r="A98" s="315"/>
      <c r="B98" s="336">
        <v>1</v>
      </c>
      <c r="C98" s="316"/>
      <c r="D98" s="318" t="s">
        <v>191</v>
      </c>
      <c r="E98" s="317">
        <v>0.34</v>
      </c>
      <c r="F98" s="317" t="s">
        <v>191</v>
      </c>
      <c r="G98" s="317">
        <v>2.63</v>
      </c>
      <c r="H98" s="319">
        <v>0</v>
      </c>
      <c r="J98" s="360" t="s">
        <v>176</v>
      </c>
      <c r="K98" s="360"/>
      <c r="L98" s="360"/>
      <c r="M98" s="360"/>
      <c r="N98" s="360"/>
      <c r="O98" s="360"/>
      <c r="P98" s="360"/>
      <c r="Q98" s="360"/>
    </row>
    <row r="99" spans="1:15" ht="12">
      <c r="A99" s="307" t="s">
        <v>177</v>
      </c>
      <c r="B99" s="335">
        <v>0</v>
      </c>
      <c r="C99" s="308"/>
      <c r="D99" s="1" t="s">
        <v>191</v>
      </c>
      <c r="E99">
        <v>0.311</v>
      </c>
      <c r="F99" t="s">
        <v>191</v>
      </c>
      <c r="G99">
        <v>2.63</v>
      </c>
      <c r="H99" s="309">
        <v>0</v>
      </c>
      <c r="J99" s="360" t="s">
        <v>178</v>
      </c>
      <c r="K99" s="360"/>
      <c r="L99" s="360"/>
      <c r="M99" s="360"/>
      <c r="N99" s="360"/>
      <c r="O99" s="360"/>
    </row>
    <row r="100" spans="1:16" ht="12">
      <c r="A100" s="307"/>
      <c r="B100" s="335">
        <v>0.25</v>
      </c>
      <c r="C100" s="308"/>
      <c r="D100" s="1" t="s">
        <v>191</v>
      </c>
      <c r="E100">
        <v>0.345</v>
      </c>
      <c r="F100" t="s">
        <v>191</v>
      </c>
      <c r="G100">
        <v>2.63</v>
      </c>
      <c r="H100" s="309">
        <v>0</v>
      </c>
      <c r="J100" s="360" t="s">
        <v>179</v>
      </c>
      <c r="K100" s="360"/>
      <c r="L100" s="360"/>
      <c r="M100" s="360"/>
      <c r="N100" s="360"/>
      <c r="O100" s="360"/>
      <c r="P100" s="360"/>
    </row>
    <row r="101" spans="1:16" ht="12">
      <c r="A101" s="307"/>
      <c r="B101" s="335">
        <v>0.5</v>
      </c>
      <c r="C101" s="308"/>
      <c r="D101" s="1" t="s">
        <v>191</v>
      </c>
      <c r="E101">
        <v>0.379</v>
      </c>
      <c r="F101" t="s">
        <v>191</v>
      </c>
      <c r="G101">
        <v>2.63</v>
      </c>
      <c r="H101" s="309">
        <v>0</v>
      </c>
      <c r="J101" s="360" t="s">
        <v>180</v>
      </c>
      <c r="K101" s="360"/>
      <c r="L101" s="360"/>
      <c r="M101" s="360"/>
      <c r="N101" s="360"/>
      <c r="O101" s="360"/>
      <c r="P101" s="360"/>
    </row>
    <row r="102" spans="1:14" ht="12">
      <c r="A102" s="307"/>
      <c r="B102" s="335">
        <v>0.75</v>
      </c>
      <c r="C102" s="308"/>
      <c r="D102" s="1" t="s">
        <v>191</v>
      </c>
      <c r="E102">
        <v>0.414</v>
      </c>
      <c r="F102" t="s">
        <v>191</v>
      </c>
      <c r="G102">
        <v>2.63</v>
      </c>
      <c r="H102" s="309">
        <v>0</v>
      </c>
      <c r="J102" s="360" t="s">
        <v>181</v>
      </c>
      <c r="K102" s="360"/>
      <c r="L102" s="360"/>
      <c r="M102" s="360"/>
      <c r="N102" s="360"/>
    </row>
    <row r="103" spans="1:18" ht="12">
      <c r="A103" s="315"/>
      <c r="B103" s="336">
        <v>1</v>
      </c>
      <c r="C103" s="316"/>
      <c r="D103" s="318" t="s">
        <v>191</v>
      </c>
      <c r="E103" s="317">
        <v>0.448</v>
      </c>
      <c r="F103" s="317" t="s">
        <v>191</v>
      </c>
      <c r="G103" s="317">
        <v>2.63</v>
      </c>
      <c r="H103" s="319">
        <v>0</v>
      </c>
      <c r="J103" s="360" t="s">
        <v>101</v>
      </c>
      <c r="K103" s="360"/>
      <c r="L103" s="360"/>
      <c r="M103" s="360"/>
      <c r="N103" s="360"/>
      <c r="O103" s="360"/>
      <c r="P103" s="360"/>
      <c r="Q103" s="360"/>
      <c r="R103" s="360"/>
    </row>
    <row r="104" spans="1:14" ht="12">
      <c r="A104" s="321" t="s">
        <v>226</v>
      </c>
      <c r="B104" s="322"/>
      <c r="C104" s="322"/>
      <c r="D104" s="323"/>
      <c r="E104" s="322"/>
      <c r="F104" s="322"/>
      <c r="G104" s="322"/>
      <c r="H104" s="324">
        <v>0</v>
      </c>
      <c r="J104" s="360" t="s">
        <v>102</v>
      </c>
      <c r="K104" s="360"/>
      <c r="L104" s="360"/>
      <c r="M104" s="360"/>
      <c r="N104" s="360"/>
    </row>
    <row r="105" spans="4:8" ht="12">
      <c r="D105" s="1"/>
      <c r="H105" s="333"/>
    </row>
    <row r="106" spans="4:8" ht="12">
      <c r="D106" s="1"/>
      <c r="H106" s="333"/>
    </row>
    <row r="107" spans="1:8" ht="12">
      <c r="A107" s="34" t="s">
        <v>103</v>
      </c>
      <c r="D107" s="1"/>
      <c r="H107" s="333"/>
    </row>
    <row r="108" spans="4:12" ht="12">
      <c r="D108" s="1"/>
      <c r="J108" s="360" t="s">
        <v>104</v>
      </c>
      <c r="K108" s="360"/>
      <c r="L108" s="360"/>
    </row>
    <row r="109" spans="1:18" ht="12">
      <c r="A109" s="367" t="s">
        <v>105</v>
      </c>
      <c r="B109" s="367"/>
      <c r="C109" s="367"/>
      <c r="D109" s="367"/>
      <c r="E109" s="367"/>
      <c r="F109" s="367"/>
      <c r="G109" s="367"/>
      <c r="H109" s="367"/>
      <c r="J109" s="360" t="s">
        <v>106</v>
      </c>
      <c r="K109" s="360"/>
      <c r="L109" s="360"/>
      <c r="M109" s="360"/>
      <c r="N109" s="360"/>
      <c r="O109" s="360"/>
      <c r="P109" s="360"/>
      <c r="Q109" s="360"/>
      <c r="R109" s="360"/>
    </row>
    <row r="110" spans="1:18" ht="12">
      <c r="A110" s="325" t="s">
        <v>107</v>
      </c>
      <c r="B110" s="322"/>
      <c r="C110" s="326" t="s">
        <v>108</v>
      </c>
      <c r="D110" s="327" t="s">
        <v>191</v>
      </c>
      <c r="E110" s="370" t="s">
        <v>109</v>
      </c>
      <c r="F110" s="370"/>
      <c r="G110" s="326"/>
      <c r="H110" s="328" t="s">
        <v>193</v>
      </c>
      <c r="J110" s="360" t="s">
        <v>110</v>
      </c>
      <c r="K110" s="360"/>
      <c r="L110" s="360"/>
      <c r="M110" s="360"/>
      <c r="N110" s="360"/>
      <c r="O110" s="360"/>
      <c r="P110" s="360"/>
      <c r="Q110" s="360"/>
      <c r="R110" s="360"/>
    </row>
    <row r="111" spans="1:18" ht="12">
      <c r="A111" s="307" t="s">
        <v>111</v>
      </c>
      <c r="C111" s="308"/>
      <c r="D111" s="1" t="s">
        <v>191</v>
      </c>
      <c r="E111" s="1">
        <v>0.04</v>
      </c>
      <c r="H111" s="309">
        <v>0</v>
      </c>
      <c r="J111" s="360" t="s">
        <v>112</v>
      </c>
      <c r="K111" s="360"/>
      <c r="L111" s="360"/>
      <c r="M111" s="360"/>
      <c r="N111" s="360"/>
      <c r="O111" s="360"/>
      <c r="P111" s="360"/>
      <c r="Q111" s="360"/>
      <c r="R111" s="360"/>
    </row>
    <row r="112" spans="1:17" ht="12">
      <c r="A112" s="310" t="s">
        <v>113</v>
      </c>
      <c r="B112" s="312" t="s">
        <v>114</v>
      </c>
      <c r="C112" s="311"/>
      <c r="D112" s="313" t="s">
        <v>191</v>
      </c>
      <c r="E112" s="313">
        <v>0.11</v>
      </c>
      <c r="F112" s="312"/>
      <c r="G112" s="312"/>
      <c r="H112" s="314">
        <v>0</v>
      </c>
      <c r="J112" s="360" t="s">
        <v>115</v>
      </c>
      <c r="K112" s="360"/>
      <c r="L112" s="360"/>
      <c r="M112" s="360"/>
      <c r="N112" s="360"/>
      <c r="O112" s="360"/>
      <c r="P112" s="360"/>
      <c r="Q112" s="360"/>
    </row>
    <row r="113" spans="1:14" ht="12">
      <c r="A113" s="315"/>
      <c r="B113" s="317" t="s">
        <v>116</v>
      </c>
      <c r="C113" s="316"/>
      <c r="D113" s="318" t="s">
        <v>191</v>
      </c>
      <c r="E113" s="318">
        <v>0.15</v>
      </c>
      <c r="F113" s="317"/>
      <c r="G113" s="317"/>
      <c r="H113" s="319">
        <v>0</v>
      </c>
      <c r="J113" s="360" t="s">
        <v>117</v>
      </c>
      <c r="K113" s="360"/>
      <c r="L113" s="360"/>
      <c r="M113" s="360"/>
      <c r="N113" s="360"/>
    </row>
    <row r="114" spans="1:18" ht="12">
      <c r="A114" s="321" t="s">
        <v>226</v>
      </c>
      <c r="B114" s="322"/>
      <c r="C114" s="322"/>
      <c r="D114" s="323"/>
      <c r="E114" s="322"/>
      <c r="F114" s="322"/>
      <c r="G114" s="322"/>
      <c r="H114" s="324">
        <v>0</v>
      </c>
      <c r="J114" s="360" t="s">
        <v>118</v>
      </c>
      <c r="K114" s="360"/>
      <c r="L114" s="360"/>
      <c r="M114" s="360"/>
      <c r="N114" s="360"/>
      <c r="O114" s="360"/>
      <c r="P114" s="360"/>
      <c r="Q114" s="360"/>
      <c r="R114" s="360"/>
    </row>
    <row r="115" spans="4:18" ht="12">
      <c r="D115" s="1"/>
      <c r="J115" s="360" t="s">
        <v>119</v>
      </c>
      <c r="K115" s="360"/>
      <c r="L115" s="360"/>
      <c r="M115" s="360"/>
      <c r="N115" s="360"/>
      <c r="O115" s="360"/>
      <c r="P115" s="360"/>
      <c r="Q115" s="360"/>
      <c r="R115" s="360"/>
    </row>
    <row r="116" ht="12">
      <c r="D116" s="1"/>
    </row>
    <row r="117" spans="1:4" ht="12">
      <c r="A117" s="366" t="s">
        <v>120</v>
      </c>
      <c r="B117" s="366"/>
      <c r="D117" s="1"/>
    </row>
    <row r="118" spans="1:18" ht="12">
      <c r="A118" s="337" t="s">
        <v>121</v>
      </c>
      <c r="B118" s="322"/>
      <c r="C118" s="322" t="s">
        <v>122</v>
      </c>
      <c r="D118" s="323" t="s">
        <v>191</v>
      </c>
      <c r="E118" s="322" t="s">
        <v>123</v>
      </c>
      <c r="F118" s="322"/>
      <c r="G118" s="322"/>
      <c r="H118" s="338" t="s">
        <v>193</v>
      </c>
      <c r="J118" s="360" t="s">
        <v>124</v>
      </c>
      <c r="K118" s="360"/>
      <c r="L118" s="360"/>
      <c r="M118" s="360"/>
      <c r="N118" s="360"/>
      <c r="O118" s="360"/>
      <c r="P118" s="360"/>
      <c r="Q118" s="360"/>
      <c r="R118" s="360"/>
    </row>
    <row r="119" spans="1:15" ht="12">
      <c r="A119" s="307" t="s">
        <v>111</v>
      </c>
      <c r="C119" s="308"/>
      <c r="D119" s="1" t="s">
        <v>191</v>
      </c>
      <c r="E119">
        <v>0.03</v>
      </c>
      <c r="H119" s="309">
        <v>0</v>
      </c>
      <c r="J119" s="360" t="s">
        <v>125</v>
      </c>
      <c r="K119" s="360"/>
      <c r="L119" s="360"/>
      <c r="M119" s="360"/>
      <c r="N119" s="360"/>
      <c r="O119" s="360"/>
    </row>
    <row r="120" spans="1:16" ht="12">
      <c r="A120" s="310" t="s">
        <v>126</v>
      </c>
      <c r="B120" s="312" t="s">
        <v>114</v>
      </c>
      <c r="C120" s="311"/>
      <c r="D120" s="313" t="s">
        <v>191</v>
      </c>
      <c r="E120" s="312">
        <v>0.57</v>
      </c>
      <c r="F120" s="312"/>
      <c r="G120" s="312"/>
      <c r="H120" s="314">
        <v>0</v>
      </c>
      <c r="J120" s="360" t="s">
        <v>127</v>
      </c>
      <c r="K120" s="360"/>
      <c r="L120" s="360"/>
      <c r="M120" s="360"/>
      <c r="N120" s="360"/>
      <c r="O120" s="360"/>
      <c r="P120" s="360"/>
    </row>
    <row r="121" spans="1:18" ht="12">
      <c r="A121" s="315"/>
      <c r="B121" s="317" t="s">
        <v>116</v>
      </c>
      <c r="C121" s="316"/>
      <c r="D121" s="318" t="s">
        <v>191</v>
      </c>
      <c r="E121" s="317">
        <v>1.58</v>
      </c>
      <c r="F121" s="317"/>
      <c r="G121" s="317"/>
      <c r="H121" s="319">
        <v>0</v>
      </c>
      <c r="J121" s="360" t="s">
        <v>128</v>
      </c>
      <c r="K121" s="360"/>
      <c r="L121" s="360"/>
      <c r="M121" s="360"/>
      <c r="N121" s="360"/>
      <c r="O121" s="360"/>
      <c r="P121" s="360"/>
      <c r="Q121" s="360"/>
      <c r="R121" s="360"/>
    </row>
    <row r="122" spans="1:15" ht="12">
      <c r="A122" s="307" t="s">
        <v>129</v>
      </c>
      <c r="B122" t="s">
        <v>130</v>
      </c>
      <c r="C122" s="308"/>
      <c r="D122" s="1" t="s">
        <v>191</v>
      </c>
      <c r="E122">
        <v>0.06</v>
      </c>
      <c r="H122" s="309">
        <v>0</v>
      </c>
      <c r="J122" s="360" t="s">
        <v>131</v>
      </c>
      <c r="K122" s="360"/>
      <c r="L122" s="360"/>
      <c r="M122" s="360"/>
      <c r="N122" s="360"/>
      <c r="O122" s="360"/>
    </row>
    <row r="123" spans="1:15" ht="12">
      <c r="A123" s="307"/>
      <c r="B123" t="s">
        <v>132</v>
      </c>
      <c r="C123" s="308"/>
      <c r="D123" s="1" t="s">
        <v>191</v>
      </c>
      <c r="E123">
        <v>0.02</v>
      </c>
      <c r="H123" s="309">
        <v>0</v>
      </c>
      <c r="J123" s="360" t="s">
        <v>133</v>
      </c>
      <c r="K123" s="360"/>
      <c r="L123" s="360"/>
      <c r="M123" s="360"/>
      <c r="N123" s="360"/>
      <c r="O123" s="360"/>
    </row>
    <row r="124" spans="1:15" ht="12">
      <c r="A124" s="307"/>
      <c r="B124" t="s">
        <v>134</v>
      </c>
      <c r="C124" s="308"/>
      <c r="D124" s="1" t="s">
        <v>191</v>
      </c>
      <c r="E124">
        <v>0.04</v>
      </c>
      <c r="H124" s="309">
        <v>0</v>
      </c>
      <c r="J124" s="360" t="s">
        <v>135</v>
      </c>
      <c r="K124" s="360"/>
      <c r="L124" s="360"/>
      <c r="M124" s="360"/>
      <c r="N124" s="360"/>
      <c r="O124" s="360"/>
    </row>
    <row r="125" spans="1:15" ht="12">
      <c r="A125" s="307"/>
      <c r="B125" t="s">
        <v>136</v>
      </c>
      <c r="C125" s="308"/>
      <c r="D125" s="1" t="s">
        <v>191</v>
      </c>
      <c r="E125">
        <v>0.003</v>
      </c>
      <c r="H125" s="309">
        <v>0</v>
      </c>
      <c r="J125" s="360" t="s">
        <v>38</v>
      </c>
      <c r="K125" s="360"/>
      <c r="L125" s="360"/>
      <c r="M125" s="360"/>
      <c r="N125" s="360"/>
      <c r="O125" s="360"/>
    </row>
    <row r="126" spans="1:16" ht="12">
      <c r="A126" s="307"/>
      <c r="B126" t="s">
        <v>39</v>
      </c>
      <c r="C126" s="308"/>
      <c r="D126" s="1" t="s">
        <v>191</v>
      </c>
      <c r="E126">
        <v>0.014</v>
      </c>
      <c r="H126" s="309"/>
      <c r="J126" s="360" t="s">
        <v>40</v>
      </c>
      <c r="K126" s="360"/>
      <c r="L126" s="360"/>
      <c r="M126" s="360"/>
      <c r="N126" s="360"/>
      <c r="O126" s="360"/>
      <c r="P126" s="360"/>
    </row>
    <row r="127" spans="1:16" ht="12">
      <c r="A127" s="315"/>
      <c r="B127" s="317" t="s">
        <v>41</v>
      </c>
      <c r="C127" s="316"/>
      <c r="D127" s="318" t="s">
        <v>191</v>
      </c>
      <c r="E127" s="317">
        <v>0.007</v>
      </c>
      <c r="F127" s="317"/>
      <c r="G127" s="317"/>
      <c r="H127" s="319">
        <v>0</v>
      </c>
      <c r="J127" s="360" t="s">
        <v>42</v>
      </c>
      <c r="K127" s="360"/>
      <c r="L127" s="360"/>
      <c r="M127" s="360"/>
      <c r="N127" s="360"/>
      <c r="O127" s="360"/>
      <c r="P127" s="360"/>
    </row>
    <row r="128" spans="1:8" ht="12">
      <c r="A128" s="321" t="s">
        <v>226</v>
      </c>
      <c r="B128" s="322"/>
      <c r="C128" s="322"/>
      <c r="D128" s="323"/>
      <c r="E128" s="322"/>
      <c r="F128" s="322"/>
      <c r="G128" s="322"/>
      <c r="H128" s="324">
        <v>0</v>
      </c>
    </row>
    <row r="129" ht="12">
      <c r="D129" s="1"/>
    </row>
    <row r="130" ht="12">
      <c r="D130" s="1"/>
    </row>
    <row r="131" spans="1:4" ht="12">
      <c r="A131" s="34" t="s">
        <v>43</v>
      </c>
      <c r="D131" s="1"/>
    </row>
    <row r="132" ht="12">
      <c r="D132" s="1"/>
    </row>
    <row r="133" spans="1:4" ht="12">
      <c r="A133" s="366" t="s">
        <v>44</v>
      </c>
      <c r="B133" s="366"/>
      <c r="D133" s="1"/>
    </row>
    <row r="134" spans="1:18" ht="12">
      <c r="A134" s="329" t="s">
        <v>45</v>
      </c>
      <c r="B134" s="330"/>
      <c r="C134" s="371" t="s">
        <v>46</v>
      </c>
      <c r="D134" s="371"/>
      <c r="E134" s="371"/>
      <c r="F134" s="371"/>
      <c r="G134" s="371"/>
      <c r="H134" s="371"/>
      <c r="I134" s="296"/>
      <c r="J134" s="296"/>
      <c r="K134" s="296"/>
      <c r="L134" s="296"/>
      <c r="M134" s="296"/>
      <c r="N134" s="296"/>
      <c r="O134" s="296"/>
      <c r="P134" s="296"/>
      <c r="Q134" s="296"/>
      <c r="R134" s="296"/>
    </row>
    <row r="135" spans="1:18" ht="12">
      <c r="A135" s="339"/>
      <c r="B135" s="340"/>
      <c r="C135" s="341" t="s">
        <v>47</v>
      </c>
      <c r="D135" s="342" t="s">
        <v>48</v>
      </c>
      <c r="E135" s="342" t="s">
        <v>49</v>
      </c>
      <c r="F135" s="342" t="s">
        <v>50</v>
      </c>
      <c r="G135" s="342" t="s">
        <v>51</v>
      </c>
      <c r="H135" s="343" t="s">
        <v>52</v>
      </c>
      <c r="I135" s="296"/>
      <c r="J135" s="296"/>
      <c r="K135" s="296"/>
      <c r="L135" s="296"/>
      <c r="M135" s="296"/>
      <c r="N135" s="296"/>
      <c r="O135" s="296"/>
      <c r="P135" s="296"/>
      <c r="Q135" s="296"/>
      <c r="R135" s="296"/>
    </row>
    <row r="136" spans="1:17" ht="12">
      <c r="A136" s="310" t="s">
        <v>53</v>
      </c>
      <c r="B136" s="292" t="s">
        <v>54</v>
      </c>
      <c r="C136" s="1" t="s">
        <v>55</v>
      </c>
      <c r="D136" s="1"/>
      <c r="E136" s="1"/>
      <c r="F136" s="1"/>
      <c r="G136" s="1"/>
      <c r="H136" s="54"/>
      <c r="J136" s="360" t="s">
        <v>56</v>
      </c>
      <c r="K136" s="360"/>
      <c r="L136" s="360"/>
      <c r="M136" s="360"/>
      <c r="N136" s="360"/>
      <c r="O136" s="360"/>
      <c r="P136" s="360"/>
      <c r="Q136" s="360"/>
    </row>
    <row r="137" spans="1:17" ht="12">
      <c r="A137" s="307" t="s">
        <v>57</v>
      </c>
      <c r="B137" s="293" t="s">
        <v>58</v>
      </c>
      <c r="C137" s="1" t="s">
        <v>55</v>
      </c>
      <c r="D137" s="1"/>
      <c r="E137" s="1"/>
      <c r="F137" s="1"/>
      <c r="G137" s="1"/>
      <c r="H137" s="54"/>
      <c r="J137" s="360" t="s">
        <v>59</v>
      </c>
      <c r="K137" s="360"/>
      <c r="L137" s="360"/>
      <c r="M137" s="360"/>
      <c r="N137" s="360"/>
      <c r="O137" s="360"/>
      <c r="P137" s="360"/>
      <c r="Q137" s="360"/>
    </row>
    <row r="138" spans="1:10" ht="12">
      <c r="A138" s="307"/>
      <c r="B138" s="293" t="s">
        <v>60</v>
      </c>
      <c r="C138" s="1" t="s">
        <v>55</v>
      </c>
      <c r="D138" s="1"/>
      <c r="E138" s="1"/>
      <c r="F138" s="1"/>
      <c r="G138" s="1"/>
      <c r="H138" s="54"/>
      <c r="J138" s="296" t="s">
        <v>61</v>
      </c>
    </row>
    <row r="139" spans="1:17" ht="12">
      <c r="A139" s="307"/>
      <c r="B139" s="293" t="s">
        <v>62</v>
      </c>
      <c r="C139" s="1" t="s">
        <v>55</v>
      </c>
      <c r="D139" s="1"/>
      <c r="E139" s="1"/>
      <c r="F139" s="1"/>
      <c r="G139" s="1"/>
      <c r="H139" s="54"/>
      <c r="J139" s="360" t="s">
        <v>63</v>
      </c>
      <c r="K139" s="360"/>
      <c r="L139" s="360"/>
      <c r="M139" s="360"/>
      <c r="N139" s="360"/>
      <c r="O139" s="360"/>
      <c r="P139" s="360"/>
      <c r="Q139" s="360"/>
    </row>
    <row r="140" spans="1:15" ht="12">
      <c r="A140" s="307"/>
      <c r="B140" s="293" t="s">
        <v>64</v>
      </c>
      <c r="C140" s="1" t="s">
        <v>55</v>
      </c>
      <c r="D140" s="1" t="s">
        <v>55</v>
      </c>
      <c r="E140" s="1"/>
      <c r="F140" s="1"/>
      <c r="G140" s="1"/>
      <c r="H140" s="54"/>
      <c r="J140" s="360" t="s">
        <v>65</v>
      </c>
      <c r="K140" s="360"/>
      <c r="L140" s="360"/>
      <c r="M140" s="360"/>
      <c r="N140" s="360"/>
      <c r="O140" s="360"/>
    </row>
    <row r="141" spans="1:17" ht="12">
      <c r="A141" s="307" t="s">
        <v>66</v>
      </c>
      <c r="B141" s="293" t="s">
        <v>67</v>
      </c>
      <c r="C141" s="1" t="s">
        <v>55</v>
      </c>
      <c r="D141" s="1" t="s">
        <v>55</v>
      </c>
      <c r="E141" s="1"/>
      <c r="F141" s="1"/>
      <c r="G141" s="1"/>
      <c r="H141" s="54"/>
      <c r="J141" s="360" t="s">
        <v>68</v>
      </c>
      <c r="K141" s="360"/>
      <c r="L141" s="360"/>
      <c r="M141" s="360"/>
      <c r="N141" s="360"/>
      <c r="O141" s="360"/>
      <c r="P141" s="360"/>
      <c r="Q141" s="360"/>
    </row>
    <row r="142" spans="1:17" ht="12">
      <c r="A142" s="307" t="s">
        <v>69</v>
      </c>
      <c r="B142" s="293" t="s">
        <v>70</v>
      </c>
      <c r="C142" s="1"/>
      <c r="D142" s="1"/>
      <c r="E142" s="1" t="s">
        <v>55</v>
      </c>
      <c r="F142" s="1"/>
      <c r="G142" s="1"/>
      <c r="H142" s="54"/>
      <c r="J142" s="360" t="s">
        <v>71</v>
      </c>
      <c r="K142" s="360"/>
      <c r="L142" s="360"/>
      <c r="M142" s="360"/>
      <c r="N142" s="360"/>
      <c r="O142" s="360"/>
      <c r="P142" s="360"/>
      <c r="Q142" s="360"/>
    </row>
    <row r="143" spans="1:16" ht="12">
      <c r="A143" s="307"/>
      <c r="B143" s="293" t="s">
        <v>72</v>
      </c>
      <c r="C143" s="1"/>
      <c r="D143" s="1"/>
      <c r="E143" s="1" t="s">
        <v>55</v>
      </c>
      <c r="F143" s="1"/>
      <c r="G143" s="1"/>
      <c r="H143" s="54"/>
      <c r="J143" s="360" t="s">
        <v>73</v>
      </c>
      <c r="K143" s="360"/>
      <c r="L143" s="360"/>
      <c r="M143" s="360"/>
      <c r="N143" s="360"/>
      <c r="O143" s="360"/>
      <c r="P143" s="360"/>
    </row>
    <row r="144" spans="1:17" ht="12">
      <c r="A144" s="307"/>
      <c r="B144" s="293" t="s">
        <v>74</v>
      </c>
      <c r="C144" s="1"/>
      <c r="D144" s="1"/>
      <c r="E144" s="1" t="s">
        <v>55</v>
      </c>
      <c r="F144" s="1"/>
      <c r="G144" s="1"/>
      <c r="H144" s="54"/>
      <c r="J144" s="360" t="s">
        <v>75</v>
      </c>
      <c r="K144" s="360"/>
      <c r="L144" s="360"/>
      <c r="M144" s="360"/>
      <c r="N144" s="360"/>
      <c r="O144" s="360"/>
      <c r="P144" s="360"/>
      <c r="Q144" s="360"/>
    </row>
    <row r="145" spans="1:17" ht="12">
      <c r="A145" s="307"/>
      <c r="B145" s="293" t="s">
        <v>76</v>
      </c>
      <c r="C145" s="1" t="s">
        <v>55</v>
      </c>
      <c r="D145" s="1" t="s">
        <v>55</v>
      </c>
      <c r="E145" s="1"/>
      <c r="F145" s="1"/>
      <c r="G145" s="1"/>
      <c r="H145" s="54"/>
      <c r="J145" s="360" t="s">
        <v>77</v>
      </c>
      <c r="K145" s="360"/>
      <c r="L145" s="360"/>
      <c r="M145" s="360"/>
      <c r="N145" s="360"/>
      <c r="O145" s="360"/>
      <c r="P145" s="360"/>
      <c r="Q145" s="360"/>
    </row>
    <row r="146" spans="1:8" ht="12">
      <c r="A146" s="307"/>
      <c r="B146" s="293" t="s">
        <v>78</v>
      </c>
      <c r="C146" s="1"/>
      <c r="D146" s="1"/>
      <c r="E146" s="1" t="s">
        <v>55</v>
      </c>
      <c r="F146" s="1"/>
      <c r="G146" s="1"/>
      <c r="H146" s="54"/>
    </row>
    <row r="147" spans="1:8" ht="12">
      <c r="A147" s="307"/>
      <c r="B147" s="293" t="s">
        <v>79</v>
      </c>
      <c r="C147" s="1"/>
      <c r="D147" s="1" t="s">
        <v>55</v>
      </c>
      <c r="E147" s="1"/>
      <c r="F147" s="1"/>
      <c r="G147" s="1"/>
      <c r="H147" s="54"/>
    </row>
    <row r="148" spans="1:8" ht="12">
      <c r="A148" s="307" t="s">
        <v>80</v>
      </c>
      <c r="B148" s="293" t="s">
        <v>81</v>
      </c>
      <c r="C148" s="1" t="s">
        <v>55</v>
      </c>
      <c r="D148" s="1" t="s">
        <v>55</v>
      </c>
      <c r="E148" s="1"/>
      <c r="F148" s="1"/>
      <c r="G148" s="1"/>
      <c r="H148" s="54"/>
    </row>
    <row r="149" spans="1:8" ht="12">
      <c r="A149" s="307" t="s">
        <v>82</v>
      </c>
      <c r="B149" s="293" t="s">
        <v>83</v>
      </c>
      <c r="C149" s="1" t="s">
        <v>55</v>
      </c>
      <c r="D149" s="1"/>
      <c r="E149" s="1"/>
      <c r="F149" s="1" t="s">
        <v>55</v>
      </c>
      <c r="G149" s="1"/>
      <c r="H149" s="54"/>
    </row>
    <row r="150" spans="1:8" ht="12">
      <c r="A150" s="307"/>
      <c r="B150" s="293" t="s">
        <v>84</v>
      </c>
      <c r="C150" s="1"/>
      <c r="D150" s="1"/>
      <c r="E150" s="1"/>
      <c r="F150" s="1"/>
      <c r="G150" s="1" t="s">
        <v>55</v>
      </c>
      <c r="H150" s="54" t="s">
        <v>55</v>
      </c>
    </row>
    <row r="151" spans="1:8" ht="12">
      <c r="A151" s="307"/>
      <c r="B151" s="293" t="s">
        <v>85</v>
      </c>
      <c r="C151" s="1" t="s">
        <v>55</v>
      </c>
      <c r="D151" s="1"/>
      <c r="E151" s="1"/>
      <c r="F151" s="1"/>
      <c r="G151" s="1"/>
      <c r="H151" s="54"/>
    </row>
    <row r="152" spans="1:8" ht="12">
      <c r="A152" s="307" t="s">
        <v>86</v>
      </c>
      <c r="B152" s="293" t="s">
        <v>87</v>
      </c>
      <c r="C152" s="1"/>
      <c r="D152" s="1" t="s">
        <v>55</v>
      </c>
      <c r="E152" s="1"/>
      <c r="F152" s="1"/>
      <c r="G152" s="1"/>
      <c r="H152" s="54"/>
    </row>
    <row r="153" spans="1:8" ht="12">
      <c r="A153" s="307" t="s">
        <v>69</v>
      </c>
      <c r="B153" s="293" t="s">
        <v>88</v>
      </c>
      <c r="C153" s="1" t="s">
        <v>55</v>
      </c>
      <c r="D153" s="1"/>
      <c r="E153" s="1"/>
      <c r="F153" s="1"/>
      <c r="G153" s="1"/>
      <c r="H153" s="54"/>
    </row>
    <row r="154" spans="1:8" ht="12">
      <c r="A154" s="307"/>
      <c r="B154" s="293" t="s">
        <v>89</v>
      </c>
      <c r="C154" s="1" t="s">
        <v>55</v>
      </c>
      <c r="D154" s="1" t="s">
        <v>55</v>
      </c>
      <c r="E154" s="1"/>
      <c r="F154" s="1"/>
      <c r="G154" s="1"/>
      <c r="H154" s="54"/>
    </row>
    <row r="155" spans="1:8" ht="12">
      <c r="A155" s="307"/>
      <c r="B155" s="293" t="s">
        <v>90</v>
      </c>
      <c r="C155" s="1" t="s">
        <v>55</v>
      </c>
      <c r="D155" s="1" t="s">
        <v>55</v>
      </c>
      <c r="E155" s="1"/>
      <c r="F155" s="1"/>
      <c r="G155" s="1"/>
      <c r="H155" s="54"/>
    </row>
    <row r="156" spans="1:8" ht="12">
      <c r="A156" s="307"/>
      <c r="B156" s="293" t="s">
        <v>91</v>
      </c>
      <c r="C156" s="1" t="s">
        <v>55</v>
      </c>
      <c r="D156" s="1" t="s">
        <v>55</v>
      </c>
      <c r="E156" s="1"/>
      <c r="F156" s="1"/>
      <c r="G156" s="1"/>
      <c r="H156" s="54"/>
    </row>
    <row r="157" spans="1:8" ht="12">
      <c r="A157" s="307" t="s">
        <v>92</v>
      </c>
      <c r="B157" s="293" t="s">
        <v>93</v>
      </c>
      <c r="C157" s="1"/>
      <c r="D157" s="1"/>
      <c r="E157" s="1"/>
      <c r="F157" s="1" t="s">
        <v>55</v>
      </c>
      <c r="G157" s="1"/>
      <c r="H157" s="54" t="s">
        <v>55</v>
      </c>
    </row>
    <row r="158" spans="1:8" ht="12">
      <c r="A158" s="307"/>
      <c r="B158" s="293" t="s">
        <v>94</v>
      </c>
      <c r="C158" s="1"/>
      <c r="D158" s="1"/>
      <c r="E158" s="1"/>
      <c r="F158" s="1" t="s">
        <v>55</v>
      </c>
      <c r="G158" s="1" t="s">
        <v>55</v>
      </c>
      <c r="H158" s="54" t="s">
        <v>55</v>
      </c>
    </row>
    <row r="159" spans="1:8" ht="12">
      <c r="A159" s="315"/>
      <c r="B159" s="295" t="s">
        <v>95</v>
      </c>
      <c r="C159" s="318" t="s">
        <v>55</v>
      </c>
      <c r="D159" s="318" t="s">
        <v>55</v>
      </c>
      <c r="E159" s="318"/>
      <c r="F159" s="318"/>
      <c r="G159" s="318"/>
      <c r="H159" s="344"/>
    </row>
    <row r="160" ht="12">
      <c r="D160" s="1"/>
    </row>
    <row r="161" spans="1:4" ht="12">
      <c r="A161" s="366" t="s">
        <v>96</v>
      </c>
      <c r="B161" s="366"/>
      <c r="D161" s="1"/>
    </row>
    <row r="162" spans="1:18" ht="60">
      <c r="A162" s="303" t="s">
        <v>46</v>
      </c>
      <c r="B162" s="304" t="s">
        <v>97</v>
      </c>
      <c r="C162" s="326"/>
      <c r="D162" s="305"/>
      <c r="E162" s="305" t="s">
        <v>98</v>
      </c>
      <c r="F162" s="326"/>
      <c r="G162" s="326"/>
      <c r="H162" s="306" t="s">
        <v>99</v>
      </c>
      <c r="I162" s="296"/>
      <c r="J162" s="296"/>
      <c r="K162" s="296"/>
      <c r="L162" s="296"/>
      <c r="M162" s="296"/>
      <c r="N162" s="296"/>
      <c r="O162" s="296"/>
      <c r="P162" s="296"/>
      <c r="Q162" s="296"/>
      <c r="R162" s="296"/>
    </row>
    <row r="163" spans="1:17" ht="12">
      <c r="A163" s="307" t="s">
        <v>100</v>
      </c>
      <c r="B163" s="308"/>
      <c r="D163" s="1" t="s">
        <v>191</v>
      </c>
      <c r="E163" s="345">
        <v>1000</v>
      </c>
      <c r="G163" s="296"/>
      <c r="H163" s="309">
        <v>0</v>
      </c>
      <c r="J163" s="360" t="s">
        <v>0</v>
      </c>
      <c r="K163" s="360"/>
      <c r="L163" s="360"/>
      <c r="M163" s="360"/>
      <c r="N163" s="360"/>
      <c r="O163" s="360"/>
      <c r="P163" s="360"/>
      <c r="Q163" s="360"/>
    </row>
    <row r="164" spans="1:17" ht="12">
      <c r="A164" s="307" t="s">
        <v>273</v>
      </c>
      <c r="B164" s="308"/>
      <c r="D164" s="1" t="s">
        <v>191</v>
      </c>
      <c r="E164" s="345">
        <v>21000</v>
      </c>
      <c r="G164" s="296"/>
      <c r="H164" s="309">
        <v>0</v>
      </c>
      <c r="J164" s="360" t="s">
        <v>1</v>
      </c>
      <c r="K164" s="360"/>
      <c r="L164" s="360"/>
      <c r="M164" s="360"/>
      <c r="N164" s="360"/>
      <c r="O164" s="360"/>
      <c r="P164" s="360"/>
      <c r="Q164" s="360"/>
    </row>
    <row r="165" spans="1:17" ht="12">
      <c r="A165" s="307" t="s">
        <v>2</v>
      </c>
      <c r="B165" s="308"/>
      <c r="D165" s="1" t="s">
        <v>191</v>
      </c>
      <c r="E165" s="345">
        <v>310000</v>
      </c>
      <c r="H165" s="309">
        <v>0</v>
      </c>
      <c r="J165" s="360" t="s">
        <v>3</v>
      </c>
      <c r="K165" s="360"/>
      <c r="L165" s="360"/>
      <c r="M165" s="360"/>
      <c r="N165" s="360"/>
      <c r="O165" s="360"/>
      <c r="P165" s="360"/>
      <c r="Q165" s="360"/>
    </row>
    <row r="166" spans="1:17" ht="12">
      <c r="A166" s="307" t="s">
        <v>4</v>
      </c>
      <c r="B166" s="308"/>
      <c r="D166" s="1" t="s">
        <v>191</v>
      </c>
      <c r="E166" s="345">
        <v>2800000</v>
      </c>
      <c r="H166" s="309">
        <v>0</v>
      </c>
      <c r="J166" s="360" t="s">
        <v>5</v>
      </c>
      <c r="K166" s="360"/>
      <c r="L166" s="360"/>
      <c r="M166" s="360"/>
      <c r="N166" s="360"/>
      <c r="O166" s="360"/>
      <c r="P166" s="360"/>
      <c r="Q166" s="360"/>
    </row>
    <row r="167" spans="1:17" ht="12">
      <c r="A167" s="307" t="s">
        <v>6</v>
      </c>
      <c r="B167" s="308"/>
      <c r="D167" s="1" t="s">
        <v>191</v>
      </c>
      <c r="E167" s="345">
        <v>1000000</v>
      </c>
      <c r="H167" s="309">
        <v>0</v>
      </c>
      <c r="J167" s="360" t="s">
        <v>7</v>
      </c>
      <c r="K167" s="360"/>
      <c r="L167" s="360"/>
      <c r="M167" s="360"/>
      <c r="N167" s="360"/>
      <c r="O167" s="360"/>
      <c r="P167" s="360"/>
      <c r="Q167" s="360"/>
    </row>
    <row r="168" spans="1:17" ht="12">
      <c r="A168" s="307" t="s">
        <v>8</v>
      </c>
      <c r="B168" s="308"/>
      <c r="D168" s="1" t="s">
        <v>191</v>
      </c>
      <c r="E168" s="345">
        <v>1300000</v>
      </c>
      <c r="H168" s="309">
        <v>0</v>
      </c>
      <c r="J168" s="360" t="s">
        <v>9</v>
      </c>
      <c r="K168" s="360"/>
      <c r="L168" s="360"/>
      <c r="M168" s="360"/>
      <c r="N168" s="360"/>
      <c r="O168" s="360"/>
      <c r="P168" s="360"/>
      <c r="Q168" s="360"/>
    </row>
    <row r="169" spans="1:17" ht="12">
      <c r="A169" s="307" t="s">
        <v>10</v>
      </c>
      <c r="B169" s="308"/>
      <c r="D169" s="1" t="s">
        <v>191</v>
      </c>
      <c r="E169" s="345">
        <v>300000</v>
      </c>
      <c r="H169" s="309">
        <v>0</v>
      </c>
      <c r="J169" s="360" t="s">
        <v>11</v>
      </c>
      <c r="K169" s="360"/>
      <c r="L169" s="360"/>
      <c r="M169" s="360"/>
      <c r="N169" s="360"/>
      <c r="O169" s="360"/>
      <c r="P169" s="360"/>
      <c r="Q169" s="360"/>
    </row>
    <row r="170" spans="1:17" ht="12">
      <c r="A170" s="307" t="s">
        <v>12</v>
      </c>
      <c r="B170" s="308"/>
      <c r="D170" s="1" t="s">
        <v>191</v>
      </c>
      <c r="E170" s="345">
        <v>3800000</v>
      </c>
      <c r="H170" s="309">
        <v>0</v>
      </c>
      <c r="J170" s="360" t="s">
        <v>13</v>
      </c>
      <c r="K170" s="360"/>
      <c r="L170" s="360"/>
      <c r="M170" s="360"/>
      <c r="N170" s="360"/>
      <c r="O170" s="360"/>
      <c r="P170" s="360"/>
      <c r="Q170" s="360"/>
    </row>
    <row r="171" spans="1:17" ht="12">
      <c r="A171" s="307" t="s">
        <v>14</v>
      </c>
      <c r="B171" s="308"/>
      <c r="D171" s="1" t="s">
        <v>191</v>
      </c>
      <c r="E171" s="345">
        <v>140000</v>
      </c>
      <c r="H171" s="309">
        <v>0</v>
      </c>
      <c r="J171" s="360" t="s">
        <v>15</v>
      </c>
      <c r="K171" s="360"/>
      <c r="L171" s="360"/>
      <c r="M171" s="360"/>
      <c r="N171" s="360"/>
      <c r="O171" s="360"/>
      <c r="P171" s="360"/>
      <c r="Q171" s="360"/>
    </row>
    <row r="172" spans="1:10" ht="12">
      <c r="A172" s="307" t="s">
        <v>16</v>
      </c>
      <c r="B172" s="308"/>
      <c r="D172" s="1" t="s">
        <v>191</v>
      </c>
      <c r="E172" s="345">
        <v>2900000</v>
      </c>
      <c r="H172" s="309">
        <v>0</v>
      </c>
      <c r="J172" s="296" t="s">
        <v>17</v>
      </c>
    </row>
    <row r="173" spans="1:17" ht="12">
      <c r="A173" s="307" t="s">
        <v>18</v>
      </c>
      <c r="B173" s="308"/>
      <c r="D173" s="1" t="s">
        <v>191</v>
      </c>
      <c r="E173" s="345">
        <v>11700000</v>
      </c>
      <c r="H173" s="309">
        <v>0</v>
      </c>
      <c r="J173" s="360" t="s">
        <v>19</v>
      </c>
      <c r="K173" s="360"/>
      <c r="L173" s="360"/>
      <c r="M173" s="360"/>
      <c r="N173" s="360"/>
      <c r="O173" s="360"/>
      <c r="P173" s="360"/>
      <c r="Q173" s="360"/>
    </row>
    <row r="174" spans="1:17" ht="12">
      <c r="A174" s="307" t="s">
        <v>20</v>
      </c>
      <c r="B174" s="308"/>
      <c r="D174" s="1" t="s">
        <v>191</v>
      </c>
      <c r="E174" s="345">
        <v>6300000</v>
      </c>
      <c r="H174" s="309">
        <v>0</v>
      </c>
      <c r="J174" s="360" t="s">
        <v>21</v>
      </c>
      <c r="K174" s="360"/>
      <c r="L174" s="360"/>
      <c r="M174" s="360"/>
      <c r="N174" s="360"/>
      <c r="O174" s="360"/>
      <c r="P174" s="360"/>
      <c r="Q174" s="360"/>
    </row>
    <row r="175" spans="1:17" ht="12">
      <c r="A175" s="307" t="s">
        <v>22</v>
      </c>
      <c r="B175" s="308"/>
      <c r="D175" s="1" t="s">
        <v>191</v>
      </c>
      <c r="E175" s="345">
        <v>560000</v>
      </c>
      <c r="H175" s="309">
        <v>0</v>
      </c>
      <c r="J175" s="360" t="s">
        <v>23</v>
      </c>
      <c r="K175" s="360"/>
      <c r="L175" s="360"/>
      <c r="M175" s="360"/>
      <c r="N175" s="360"/>
      <c r="O175" s="360"/>
      <c r="P175" s="360"/>
      <c r="Q175" s="360"/>
    </row>
    <row r="176" spans="1:17" ht="12">
      <c r="A176" s="307" t="s">
        <v>24</v>
      </c>
      <c r="B176" s="308"/>
      <c r="D176" s="1" t="s">
        <v>191</v>
      </c>
      <c r="E176" s="345">
        <v>650000</v>
      </c>
      <c r="H176" s="309">
        <v>0</v>
      </c>
      <c r="J176" s="360" t="s">
        <v>25</v>
      </c>
      <c r="K176" s="360"/>
      <c r="L176" s="360"/>
      <c r="M176" s="360"/>
      <c r="N176" s="360"/>
      <c r="O176" s="360"/>
      <c r="P176" s="360"/>
      <c r="Q176" s="360"/>
    </row>
    <row r="177" spans="1:12" ht="12">
      <c r="A177" s="307" t="s">
        <v>26</v>
      </c>
      <c r="B177" s="308"/>
      <c r="D177" s="1" t="s">
        <v>191</v>
      </c>
      <c r="E177" s="345">
        <v>150000</v>
      </c>
      <c r="H177" s="309">
        <v>0</v>
      </c>
      <c r="J177" s="360" t="s">
        <v>27</v>
      </c>
      <c r="K177" s="360"/>
      <c r="L177" s="360"/>
    </row>
    <row r="178" spans="1:8" ht="12">
      <c r="A178" s="307" t="s">
        <v>28</v>
      </c>
      <c r="B178" s="308"/>
      <c r="D178" s="1" t="s">
        <v>191</v>
      </c>
      <c r="E178" s="345">
        <v>1300000</v>
      </c>
      <c r="H178" s="309">
        <v>0</v>
      </c>
    </row>
    <row r="179" spans="1:8" ht="12">
      <c r="A179" s="307" t="s">
        <v>29</v>
      </c>
      <c r="B179" s="308"/>
      <c r="D179" s="1" t="s">
        <v>191</v>
      </c>
      <c r="E179" s="345">
        <v>7000000</v>
      </c>
      <c r="H179" s="309">
        <v>0</v>
      </c>
    </row>
    <row r="180" spans="1:8" ht="12">
      <c r="A180" s="307" t="s">
        <v>30</v>
      </c>
      <c r="B180" s="308"/>
      <c r="D180" s="1" t="s">
        <v>191</v>
      </c>
      <c r="E180" s="345">
        <v>6500000</v>
      </c>
      <c r="F180" t="s">
        <v>31</v>
      </c>
      <c r="H180" s="309">
        <v>0</v>
      </c>
    </row>
    <row r="181" spans="1:8" ht="12">
      <c r="A181" s="307" t="s">
        <v>32</v>
      </c>
      <c r="B181" s="308"/>
      <c r="D181" s="1" t="s">
        <v>191</v>
      </c>
      <c r="E181" s="345">
        <v>7000000</v>
      </c>
      <c r="H181" s="309">
        <v>0</v>
      </c>
    </row>
    <row r="182" spans="1:8" ht="12">
      <c r="A182" s="307" t="s">
        <v>33</v>
      </c>
      <c r="B182" s="308"/>
      <c r="D182" s="1" t="s">
        <v>191</v>
      </c>
      <c r="E182" s="345">
        <v>7500000</v>
      </c>
      <c r="H182" s="309">
        <v>0</v>
      </c>
    </row>
    <row r="183" spans="1:8" ht="12">
      <c r="A183" s="307" t="s">
        <v>34</v>
      </c>
      <c r="B183" s="308"/>
      <c r="D183" s="1" t="s">
        <v>191</v>
      </c>
      <c r="E183" s="345">
        <v>8700000</v>
      </c>
      <c r="H183" s="309">
        <v>0</v>
      </c>
    </row>
    <row r="184" spans="1:8" ht="12">
      <c r="A184" s="307" t="s">
        <v>35</v>
      </c>
      <c r="B184" s="308"/>
      <c r="D184" s="1" t="s">
        <v>191</v>
      </c>
      <c r="E184" s="345">
        <v>9200000</v>
      </c>
      <c r="H184" s="309">
        <v>0</v>
      </c>
    </row>
    <row r="185" spans="1:8" ht="12">
      <c r="A185" s="307" t="s">
        <v>36</v>
      </c>
      <c r="B185" s="308"/>
      <c r="D185" s="1" t="s">
        <v>191</v>
      </c>
      <c r="E185" s="345">
        <v>7400000</v>
      </c>
      <c r="H185" s="309">
        <v>0</v>
      </c>
    </row>
    <row r="186" spans="1:8" ht="12">
      <c r="A186" s="315" t="s">
        <v>51</v>
      </c>
      <c r="B186" s="316"/>
      <c r="C186" s="317"/>
      <c r="D186" s="318" t="s">
        <v>191</v>
      </c>
      <c r="E186" s="346">
        <v>23900000</v>
      </c>
      <c r="F186" s="317"/>
      <c r="G186" s="317"/>
      <c r="H186" s="319">
        <v>0</v>
      </c>
    </row>
    <row r="187" spans="1:8" ht="12">
      <c r="A187" s="321" t="s">
        <v>226</v>
      </c>
      <c r="B187" s="322"/>
      <c r="C187" s="322"/>
      <c r="D187" s="323"/>
      <c r="E187" s="322"/>
      <c r="F187" s="322"/>
      <c r="G187" s="322"/>
      <c r="H187" s="324">
        <v>0</v>
      </c>
    </row>
    <row r="188" ht="12">
      <c r="D188" s="1"/>
    </row>
  </sheetData>
  <mergeCells count="101">
    <mergeCell ref="J174:Q174"/>
    <mergeCell ref="J175:Q175"/>
    <mergeCell ref="J176:Q176"/>
    <mergeCell ref="J177:L177"/>
    <mergeCell ref="J169:Q169"/>
    <mergeCell ref="J170:Q170"/>
    <mergeCell ref="J171:Q171"/>
    <mergeCell ref="J173:Q173"/>
    <mergeCell ref="J165:Q165"/>
    <mergeCell ref="J166:Q166"/>
    <mergeCell ref="J167:Q167"/>
    <mergeCell ref="J168:Q168"/>
    <mergeCell ref="J145:Q145"/>
    <mergeCell ref="A161:B161"/>
    <mergeCell ref="J163:Q163"/>
    <mergeCell ref="J164:Q164"/>
    <mergeCell ref="J141:Q141"/>
    <mergeCell ref="J142:Q142"/>
    <mergeCell ref="J143:P143"/>
    <mergeCell ref="J144:Q144"/>
    <mergeCell ref="J136:Q136"/>
    <mergeCell ref="J137:Q137"/>
    <mergeCell ref="J139:Q139"/>
    <mergeCell ref="J140:O140"/>
    <mergeCell ref="J126:P126"/>
    <mergeCell ref="J127:P127"/>
    <mergeCell ref="A133:B133"/>
    <mergeCell ref="C134:H134"/>
    <mergeCell ref="J122:O122"/>
    <mergeCell ref="J123:O123"/>
    <mergeCell ref="J124:O124"/>
    <mergeCell ref="J125:O125"/>
    <mergeCell ref="J118:R118"/>
    <mergeCell ref="J119:O119"/>
    <mergeCell ref="J120:P120"/>
    <mergeCell ref="J121:R121"/>
    <mergeCell ref="J113:N113"/>
    <mergeCell ref="J114:R114"/>
    <mergeCell ref="J115:R115"/>
    <mergeCell ref="A117:B117"/>
    <mergeCell ref="E110:F110"/>
    <mergeCell ref="J110:R110"/>
    <mergeCell ref="J111:R111"/>
    <mergeCell ref="J112:Q112"/>
    <mergeCell ref="J103:R103"/>
    <mergeCell ref="J104:N104"/>
    <mergeCell ref="J108:L108"/>
    <mergeCell ref="A109:H109"/>
    <mergeCell ref="J109:R109"/>
    <mergeCell ref="J99:O99"/>
    <mergeCell ref="J100:P100"/>
    <mergeCell ref="J101:P101"/>
    <mergeCell ref="J102:N102"/>
    <mergeCell ref="J95:Q95"/>
    <mergeCell ref="J96:Q96"/>
    <mergeCell ref="J97:Q97"/>
    <mergeCell ref="J98:Q98"/>
    <mergeCell ref="A92:H92"/>
    <mergeCell ref="C93:D93"/>
    <mergeCell ref="E93:F93"/>
    <mergeCell ref="J94:Q94"/>
    <mergeCell ref="J84:Q84"/>
    <mergeCell ref="J85:Q85"/>
    <mergeCell ref="J86:Q86"/>
    <mergeCell ref="J87:K87"/>
    <mergeCell ref="J74:Q74"/>
    <mergeCell ref="J75:K75"/>
    <mergeCell ref="A82:H82"/>
    <mergeCell ref="E83:F83"/>
    <mergeCell ref="A70:H70"/>
    <mergeCell ref="E71:F71"/>
    <mergeCell ref="J72:Q72"/>
    <mergeCell ref="J73:Q73"/>
    <mergeCell ref="E63:F63"/>
    <mergeCell ref="J64:Q64"/>
    <mergeCell ref="J65:R65"/>
    <mergeCell ref="J66:O66"/>
    <mergeCell ref="J31:Q31"/>
    <mergeCell ref="J32:Q32"/>
    <mergeCell ref="J33:K33"/>
    <mergeCell ref="A62:E62"/>
    <mergeCell ref="J26:Q26"/>
    <mergeCell ref="J27:Q27"/>
    <mergeCell ref="J28:Q28"/>
    <mergeCell ref="J30:Q30"/>
    <mergeCell ref="J21:R21"/>
    <mergeCell ref="J22:K22"/>
    <mergeCell ref="J23:Q23"/>
    <mergeCell ref="J24:Q24"/>
    <mergeCell ref="J17:Q17"/>
    <mergeCell ref="J18:P18"/>
    <mergeCell ref="J19:Q19"/>
    <mergeCell ref="J20:Q20"/>
    <mergeCell ref="A7:B7"/>
    <mergeCell ref="A10:B10"/>
    <mergeCell ref="A13:B13"/>
    <mergeCell ref="A14:B14"/>
    <mergeCell ref="A1:I1"/>
    <mergeCell ref="A2:I2"/>
    <mergeCell ref="A4:I4"/>
    <mergeCell ref="H6:I6"/>
  </mergeCells>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