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516" windowWidth="28080" windowHeight="14420" activeTab="0"/>
  </bookViews>
  <sheets>
    <sheet name="EFN_CO2 calculator" sheetId="1" r:id="rId1"/>
    <sheet name="CO2 per kWh" sheetId="2" r:id="rId2"/>
    <sheet name="Conversion factors" sheetId="3" r:id="rId3"/>
    <sheet name="DEFRA_Calculator" sheetId="4" r:id="rId4"/>
  </sheets>
  <definedNames>
    <definedName name="Excel_BuiltIn_Print_Area_1">'EFN_CO2 calculator'!$A$5:$F$123</definedName>
  </definedNames>
  <calcPr fullCalcOnLoad="1"/>
</workbook>
</file>

<file path=xl/sharedStrings.xml><?xml version="1.0" encoding="utf-8"?>
<sst xmlns="http://schemas.openxmlformats.org/spreadsheetml/2006/main" count="1088" uniqueCount="655">
  <si>
    <t>Griechenland</t>
  </si>
  <si>
    <t>Dänemark</t>
  </si>
  <si>
    <t>Quellen: EFN, PriceWaterHouse, EDF, www.manicore.com 2001</t>
  </si>
  <si>
    <t>Calorific Value and Carbon Emissions (Source: Carbon Trust)</t>
  </si>
  <si>
    <t>Calculated</t>
  </si>
  <si>
    <t>Carbon Emissions / US Figures (Source: Department of Energy)</t>
  </si>
  <si>
    <t xml:space="preserve">Fuel </t>
  </si>
  <si>
    <t>Net Energy</t>
  </si>
  <si>
    <t>Gross Energy</t>
  </si>
  <si>
    <t>Carbon Emissions</t>
  </si>
  <si>
    <t>(Approx.)</t>
  </si>
  <si>
    <t>By Weight</t>
  </si>
  <si>
    <t>By Volume</t>
  </si>
  <si>
    <t>UK Grid electricity</t>
  </si>
  <si>
    <t xml:space="preserve">kg C/kWh </t>
  </si>
  <si>
    <t>kg C02 / kWh (e)</t>
  </si>
  <si>
    <t>As Delivered</t>
  </si>
  <si>
    <t>UK Electricity Fuel Input</t>
  </si>
  <si>
    <t>kg C02 / kWh (th)</t>
  </si>
  <si>
    <t>Primary</t>
  </si>
  <si>
    <t>Solid fuels</t>
  </si>
  <si>
    <t>kWh / tonne</t>
  </si>
  <si>
    <t>litres / tonne</t>
  </si>
  <si>
    <t>kWh/litre</t>
  </si>
  <si>
    <t>kg C02 / kWh</t>
  </si>
  <si>
    <t>kg C02 / tonne</t>
  </si>
  <si>
    <t>kg C02 / kg fuel</t>
  </si>
  <si>
    <t>Coal</t>
  </si>
  <si>
    <t>CL</t>
  </si>
  <si>
    <t>kwh / tonne</t>
  </si>
  <si>
    <t>kg CO2 / kWh</t>
  </si>
  <si>
    <t>kg CO2 / tonne</t>
  </si>
  <si>
    <t>Pounds CO2 per short ton</t>
  </si>
  <si>
    <t>Pounds CO2 per Million Btu</t>
  </si>
  <si>
    <t>Coal (weighted average)</t>
  </si>
  <si>
    <t>—</t>
  </si>
  <si>
    <t>Anthracite</t>
  </si>
  <si>
    <t>AC</t>
  </si>
  <si>
    <t>Bituminous</t>
  </si>
  <si>
    <t>BC</t>
  </si>
  <si>
    <t>Subbituminous</t>
  </si>
  <si>
    <t>SB</t>
  </si>
  <si>
    <t>Lignite</t>
  </si>
  <si>
    <t>LC</t>
  </si>
  <si>
    <t>Coke</t>
  </si>
  <si>
    <t>Liquid fuels</t>
  </si>
  <si>
    <t>kg C02 / litre</t>
  </si>
  <si>
    <t>kg C02 / UK gallon</t>
  </si>
  <si>
    <t xml:space="preserve">Petroleum Products </t>
  </si>
  <si>
    <t>kwh / litre</t>
  </si>
  <si>
    <t>kg CO2 / litre</t>
  </si>
  <si>
    <t>Pounds CO2 per US gallon</t>
  </si>
  <si>
    <t>Ethane</t>
  </si>
  <si>
    <t>Propane</t>
  </si>
  <si>
    <t>PR</t>
  </si>
  <si>
    <t>Liquefied petroleum gas / LPG</t>
  </si>
  <si>
    <t>Liquified Petroleum Gases (LPG)</t>
  </si>
  <si>
    <t>LG</t>
  </si>
  <si>
    <t>Aviation Gasoline</t>
  </si>
  <si>
    <t>AV</t>
  </si>
  <si>
    <t>Motor spirit / Petrol</t>
  </si>
  <si>
    <t>Motor Gasoline</t>
  </si>
  <si>
    <t>MG</t>
  </si>
  <si>
    <t>Aviation turbine fuel / Jet Kerosene</t>
  </si>
  <si>
    <t>Jet Fuel</t>
  </si>
  <si>
    <t>JF</t>
  </si>
  <si>
    <t>Gas/diesel oil</t>
  </si>
  <si>
    <t>Kerosene</t>
  </si>
  <si>
    <t>KS</t>
  </si>
  <si>
    <t>Power station oil / Naptha</t>
  </si>
  <si>
    <t>Distillate Fuel (No. 1, No. 2, No. 4 Fuel Oil and Diesel)</t>
  </si>
  <si>
    <t>DF</t>
  </si>
  <si>
    <t>Fuel oil / Heavy Fuel Oil</t>
  </si>
  <si>
    <t>Residual Fuel (No. 5 and No. 6 Fuel Oil)</t>
  </si>
  <si>
    <t>RF</t>
  </si>
  <si>
    <t xml:space="preserve">Petroleum coke </t>
  </si>
  <si>
    <t>Petroleum Coke</t>
  </si>
  <si>
    <t>PC</t>
  </si>
  <si>
    <t>Crude oil (weighted average)</t>
  </si>
  <si>
    <t>Petroleum products (weighted average)</t>
  </si>
  <si>
    <t>Gaseous fuels</t>
  </si>
  <si>
    <t>kWh/m3</t>
  </si>
  <si>
    <t>kg C02 / m3</t>
  </si>
  <si>
    <t>kg C02 / 100f3</t>
  </si>
  <si>
    <t xml:space="preserve">Natural Gas and Other Gaseous Fuels </t>
  </si>
  <si>
    <t>kwh / m3</t>
  </si>
  <si>
    <t>kg CO2 / m3</t>
  </si>
  <si>
    <t>Pounds CO2 per 1000 ft3</t>
  </si>
  <si>
    <t>Natural gas</t>
  </si>
  <si>
    <t>Natural Gas (Pipeline)</t>
  </si>
  <si>
    <t>NG</t>
  </si>
  <si>
    <t>Refinery gas</t>
  </si>
  <si>
    <t>Flare Gas</t>
  </si>
  <si>
    <t>FG</t>
  </si>
  <si>
    <t>Coke oven gas</t>
  </si>
  <si>
    <t>Methane</t>
  </si>
  <si>
    <t>ME</t>
  </si>
  <si>
    <t>Landfill gas</t>
  </si>
  <si>
    <t>5.3 - 6.4</t>
  </si>
  <si>
    <t>5.8-7.0*</t>
  </si>
  <si>
    <t>Landfill Gas</t>
  </si>
  <si>
    <t>LF</t>
  </si>
  <si>
    <t>Sewage gas</t>
  </si>
  <si>
    <t> </t>
  </si>
  <si>
    <t>Blast furnace gas</t>
  </si>
  <si>
    <t>Solid renewables</t>
  </si>
  <si>
    <t>kWh/tonne</t>
  </si>
  <si>
    <t>Bemerkung : ein Minuszeichen bedeutet keine Reduktion, sondern einen Anstieg der CO2-Emissionen (Kann wegen den Gasturbinenbackupsystem in manchen Fällen passieren)</t>
  </si>
  <si>
    <t xml:space="preserve">CO2 Ersparnisse Ihrer Emissionen, durch Ihre Politiker : </t>
  </si>
  <si>
    <t>Spielen Sie mit den Zahlen ruhig herum, sie werden merken dass Windkraftwerke nur einen geringen Einfluss auf CO2 Ersparnisse haben.</t>
  </si>
  <si>
    <t>AKWS haben einen größeren Einfluss, weil sie verläßlich sind und den Gesamtenergiebedarf decken können und keine oder kaum fossile Backupsysteme benötigen. (Wenn man Fossile Kraftwerke als Spitzenstromkarftwerk benützen würde)</t>
  </si>
  <si>
    <t>Bitte wählen sie Poliker, die die richtie Entscheidung treffen und vergewissern sie sich, dass sie das halten, was sie versprechen !</t>
  </si>
  <si>
    <t>WAS PASSIERT, WENN IHRE POLITIKER ALLE IHRE WÜNSCHE UMSETZEN WÜRDEN ?</t>
  </si>
  <si>
    <t>IHR CO2-FUSSABDRUCK (für Ihre Gruppe) könnte so klein wie folgt sein:</t>
  </si>
  <si>
    <t>IHR CO2-FUSSABDRUCK pro Person könnte so klein wie folgt sein:</t>
  </si>
  <si>
    <t>IHR CO2-FUSSABDRUCK könnte sich um folgende Prozentzahl verringern:</t>
  </si>
  <si>
    <t>%</t>
  </si>
  <si>
    <t>Vergleichen Sie das Erebnis mit dem was der Planet aushalten kann:</t>
  </si>
  <si>
    <t>(für Individuen, Familien oder Gruppen, nicht für Firmen)</t>
  </si>
  <si>
    <t>VIELEN DANK, DASS SIE SICH UM UNSEREN PLANETEN KÜMMERN, versuchen Sie, Ihren CO2-Fussabdruck Jahr für Jahr zu verringern!</t>
  </si>
  <si>
    <t>Für Verbesserungsvorschläge dieser Datei schreiben Sie bitte an CO2calculator[at]ecolo.org</t>
  </si>
  <si>
    <t>(Bitte geben sie die Zellennummer und Ihren vorgeschlagenen Inhalt jeder einzelnen Zelle anl)</t>
  </si>
  <si>
    <t>Für mehr Information überEFN und unser Programm : www.ecolo.org</t>
  </si>
  <si>
    <t>Quelle für die meisten angewendeten Umrechnungsfaktoren :</t>
  </si>
  <si>
    <t>DEFRA Guidelines for Company Reporting on Greenhouse Gas Emissions - Annexes updated July 2005</t>
  </si>
  <si>
    <t>http://www.defra.gov.uk/Environment/business/envrp/gas/envrpgas-annexes.pdf</t>
  </si>
  <si>
    <t>CO2 pro kWh</t>
  </si>
  <si>
    <t>Frankreich</t>
  </si>
  <si>
    <t>Schweden</t>
  </si>
  <si>
    <t>Kanada</t>
  </si>
  <si>
    <t>Österreich</t>
  </si>
  <si>
    <t>Belgien</t>
  </si>
  <si>
    <t>Europäische Union</t>
  </si>
  <si>
    <t>Finnland</t>
  </si>
  <si>
    <t>Spanien</t>
  </si>
  <si>
    <t>Japan</t>
  </si>
  <si>
    <t>Portugal</t>
  </si>
  <si>
    <t>UK</t>
  </si>
  <si>
    <t>Luxemburg</t>
  </si>
  <si>
    <t>Deutschland</t>
  </si>
  <si>
    <t>USA</t>
  </si>
  <si>
    <t>Niederlande</t>
  </si>
  <si>
    <t>Italien</t>
  </si>
  <si>
    <t>Irland</t>
  </si>
  <si>
    <t>würde Ihr Land die Emissionen folgendermaßen reduzieren:</t>
  </si>
  <si>
    <t>Anzahl der benötigten Bäume, um dieselbe Anzahl CO2 einzusparen (in Millionen Bäumen) :</t>
  </si>
  <si>
    <t>Fläche des Waldes (in km2)</t>
  </si>
  <si>
    <t>ZUSÄTZLICHE MÖGLICHE EINSPARUNGEN, WENN SIE ODER IHRE POLITIKER DIE RICHTIGEN ENTSCHEIDUNGEN TREFFEN WÜRDEN :</t>
  </si>
  <si>
    <t xml:space="preserve">Die Entscheidungen Ihrer Politiker, auf welche Art Strom erzeugt wird, hat einen direkten Einfluss Ihrer eigenen Emissionen </t>
  </si>
  <si>
    <t>Wenn man sich entscheidet, neue Kraftwerke zu bauen, haben Politiker nur 2 Möglichkeiten: Windkraftwerke oder Atomkraftwerke (wir schätzen, sie sind weise genug, nicht auf Kohlekrafwerke zu setzen)</t>
  </si>
  <si>
    <t>AKWs haben einen Wirkungsgrad von 85%, (kein Backupsystem notwendig).</t>
  </si>
  <si>
    <t>Windenergie kann nicht mehr als 20% des Strombedarfs eines Landes decken (um die vorhandene Stabilität des elektrischen Netzes zu gewährleisten).</t>
  </si>
  <si>
    <t>Atomkraft wird normalerweise nicht verwendet, um mehr als 80% der Stromproduktion eines Landes zu erzeugen (obwohl sie bis zu 100% decken könnte, Spitzenstrom wird allerdings normalerweise aus anderen Methoden der Stromerzeugung gewonnen).</t>
  </si>
  <si>
    <t>Nehmen wir an, die Politiker würden Ihre Vorschläge annehmen und schauen wir uns die Resultate an:</t>
  </si>
  <si>
    <t>Wie viele neue 2 MW Windkraftwerke würden Sie Ihre Politiker bauen lassen?</t>
  </si>
  <si>
    <t>Maximalanzahl der Winkraftwerke, die gebaut werden könnten (Technische Grenze für die Netzstabilität: ca 20% der Gesamtkapazität) :</t>
  </si>
  <si>
    <t>Wie viele neue Atomkraftwerke würden Sie Ihre Politiker bauen lassen?</t>
  </si>
  <si>
    <t>Maximalanzahl der empfohlenen AKWs  (ausreichend, um 80% des Strombedarfs zu decken) :</t>
  </si>
  <si>
    <t>BENÖTIGTE FLÄCHE DER WINDKRAFTANLAGEN:</t>
  </si>
  <si>
    <t>KM2</t>
  </si>
  <si>
    <t>BENÖTIGTE FLÄCHE DER AKWS:</t>
  </si>
  <si>
    <t>ERZEUGTE ENERGIE DER WINDKRAFTANLAGEN :</t>
  </si>
  <si>
    <t>ERZEUGTE ENERGIE DER AKWS:</t>
  </si>
  <si>
    <t>Auswirkungen der Windkraftanlagen für die CO2-Reduzierungspläne Ihres Landes:</t>
  </si>
  <si>
    <t>Auswirkungen der AKWS für die CO2-Reduzierungspläne Ihres Landes: :</t>
  </si>
  <si>
    <t>Bemerkung: ein (plus) Zeichen (oder kein Zeichen) bedeutet eine CO2-Einsparung</t>
  </si>
  <si>
    <t>(Halbieren sie den Wert der Tonnen CO2/ Bürger  (tCO2/capita) auf dieser Webseite, um Ihren persönlichen anteil zu ermitteln)</t>
  </si>
  <si>
    <t>Wie sie Ihre Emissionen reduzieren können: MÖGLICHE EINSPARUNGSMÖGLICHKEITEN UND ZIELE FÜR NÄCHSTES JAHR</t>
  </si>
  <si>
    <t>Was können sie tun, um ihren fossilen Energieverbrauch und damit CO2 Verbrauch in Zukunft zu senken.</t>
  </si>
  <si>
    <t>Die grünen Kästchen zeigen an, welches Einsparungspotential jede einzelne Aktion ungefähr in sich trägt.</t>
  </si>
  <si>
    <t>Verändern sie die Zahlen in den grauen Kästchen, wie sie wollen, um die gewünschten Einsparungen zu sehen</t>
  </si>
  <si>
    <t>und verwenden sie diese Excel-Datei nächstes Jahr, um die Ergebnisse zu vergleichen!</t>
  </si>
  <si>
    <t>Versuchen sie verschieden Szenarien, um zu sehen, was passiert, wenn sie die Parameter ändern</t>
  </si>
  <si>
    <t>Tauschen sie ein einfaches Glasfenster gegen ein Doppelglasfenster aus (Ja=1, Nein=0)</t>
  </si>
  <si>
    <t>Bessere Dachisolierung (Ja=1, Geringfügige Verbesserung=0.5, Nein=0)</t>
  </si>
  <si>
    <t>Bessere Wandisolierung (Ja=1, Geringfügige Verbesserung=0.5, Nein=0)</t>
  </si>
  <si>
    <t>Reduzieren Sie Ihren Stromverbrauch (Reduktion in %)</t>
  </si>
  <si>
    <t>Ziehen sie nach Frankreich/Schweden oder produzieren Sie Ihren eigenen „grünen“ Strom (Ja=1, Nein=0)</t>
  </si>
  <si>
    <t>Reduzieren Sie Ihre gefahrenen Autokilometer (in %)</t>
  </si>
  <si>
    <t>Benutzen Sie anstatt des Autos öffentlichen Verkehr (Bus oder Diesellok in % der Autokilometer)</t>
  </si>
  <si>
    <t>Benutzen Sie manchmal anstatt des Autos öffentlichen Verkehr (U-Bahn oder Zug in % der Autokilometer)</t>
  </si>
  <si>
    <t>oder verwenden sie statt eines herkömmlichen Autos strombetriebene Autos  (Ja=1, Nein=0)</t>
  </si>
  <si>
    <t>Reduzieren Sie Ihre Flüge (in %)</t>
  </si>
  <si>
    <t>Produzieren Sie saubere Energie durch Photovoltaikzellen (Anzahl der Quadratmeter)</t>
  </si>
  <si>
    <t>Andere Einsparungsmöglichkeiten, hier nicht erwähnt (in kg CO2)</t>
  </si>
  <si>
    <t>DAS GESAMTEINSPARUNGSZIEL IST:</t>
  </si>
  <si>
    <t>CO2 Reduzierung in % Ihrer Emissionen:</t>
  </si>
  <si>
    <t xml:space="preserve">MIT DIESEN EINSPARUNGEN LAUTET IHR EINSPARUNGSZIEL FÜR NÄCHSTES jAHR: </t>
  </si>
  <si>
    <t>Anzahl der Bäume, die soviel Kohlenstoff absorbieren wie die genannten Einsparungen:</t>
  </si>
  <si>
    <t>Wenn jeder einzelne in Ihrem Land solche Einsparungen erzielen würde:</t>
  </si>
  <si>
    <t xml:space="preserve">Oder gehen Sie auf www.chooseclimate.org oder einem anderem Rechner, und geben sie hier die Gesamtemission ein.  (CO2 Emissionen in kg für alle Flüge) </t>
  </si>
  <si>
    <t>ANDERE CO2 EMISSIONEN (verschiedenes, nicht im vorangegangenen Teil aufgeschienen)</t>
  </si>
  <si>
    <t>z.B. Wasserskifahren im Sommer (beachten Sie, dass CO2 Emissionen in kg = 3.66 mal dem Kohlenstoffverbrauch in kg und das Kohlenstoff 75% des Gewichtes für Heizöl oder Erdgas, ca  80% für Benzin, und 86% für Diesel oder heavy oil)</t>
  </si>
  <si>
    <t>IHR CO2 FUSSABDRUCK BETRÄGT : (Gesamtemissionen Ihrerseits, Ihrer Firma, Ihrer Gruppe, Ihrer Gemeinde...)</t>
  </si>
  <si>
    <t>Die Anzahl von hoch gewachsenen Bäumen, die benötigt werden, um das CO2 aus der Luft zu absorbieren:</t>
  </si>
  <si>
    <t>Anzahl der Personen in Ihrer Firma, Familie.....:</t>
  </si>
  <si>
    <t xml:space="preserve">Geben Sie 1 ein, wenn Ihre Berechnungen nur für sie alleine gelten  </t>
  </si>
  <si>
    <t>Bemerkung: Diese Resultat beinhaltet nicht gemeinsame Emissionen von der gegebenen Infrastruktur, Regierung und anderen Büros Ihrer Firma, wenn sie oben nicht berücksichtigt wurden: Emissionen der Industrie, Zulieferern, Errichtung von Gebäuden, Verpackungsmaterial); In vielen Fällen, für Privatpersonen oder gemeinsame Haushalte, muss dieser CO2 Fussabdruck pro Person mit einem Faktor von 2 multipliziert werden, um den Gesamtanteil als Bürger (inklusive Ihren Anteil der indirekten Emissionen) zu erhalten.</t>
  </si>
  <si>
    <t xml:space="preserve">1000 kg CO2 pro Person / year in the short term 500 kg CO2 pro Person / year in the long term </t>
  </si>
  <si>
    <t>(nur für Privatpersonen, Famileien oder Gruppen, nicht für Firmen!)</t>
  </si>
  <si>
    <t>Durchschnittliches Resultat eines US-Amerikaners bzw Australiers (Privatanteil)</t>
  </si>
  <si>
    <t>Durchschnittliches Resultat eines deutschen Bürgers (Privatanteil)</t>
  </si>
  <si>
    <t>Durchschnittliches Resultat eines Franzosen (Privatanteil)</t>
  </si>
  <si>
    <t>Durchschnittliches Resultat eines Chinesen (Privatanteil)</t>
  </si>
  <si>
    <t>Durchschnittliches Resultat eines Albaners (Privatanteil)</t>
  </si>
  <si>
    <t>Für Durchschnittswerte in änderen Ländern: http://www.ecolo.org/documents/documents_in_english/IEA-Stats-all-03.html</t>
  </si>
  <si>
    <t>Dieselverbrauch (in US liquid gallons)</t>
  </si>
  <si>
    <t>Dieselverbrauch (in UK gallons)</t>
  </si>
  <si>
    <t>ODER</t>
  </si>
  <si>
    <t>Geben Sie die gefahrenen Kilometer entsprechend Ihres Autotyps ein</t>
  </si>
  <si>
    <t>Kilometer</t>
  </si>
  <si>
    <t>Meilen</t>
  </si>
  <si>
    <t>Flüssiggasauto</t>
  </si>
  <si>
    <t>EMISSIONEN DURCH ÖFFENTLICHEN VERKEHR VERURSACHT (Bus, Diesellok, etc)</t>
  </si>
  <si>
    <t>Kilometer pro Jahr (Bus, Diesellok, sämtliche mit Benzin oder Diesel betriebene Fahrzeuge)</t>
  </si>
  <si>
    <t>Miles in the UK</t>
  </si>
  <si>
    <t>FERRY/BOAT</t>
  </si>
  <si>
    <t xml:space="preserve">1 kilometer by ferry </t>
  </si>
  <si>
    <t>230kg/day</t>
  </si>
  <si>
    <t>Kilometer pro Jahr in U-Bahn, Strassenbahn oder Zug (elektr)</t>
  </si>
  <si>
    <t>(Falls Züge z.T mit Diesel z.T. elektrisch betrieben werden, schätzen sie den Anteil bitte ab)</t>
  </si>
  <si>
    <t>EMISSIONEN VERURSACHT DURCH FLUGZEUGE</t>
  </si>
  <si>
    <t>Geben sie die Flugdistanz ein (2 Linien für Hin + Retour, 1 Linie für One-Way) – Flugdistanzen kann man unter folgeden Links finden  http://www.mapcrow.info  http://www.chooseclimate.org/flying/mapcalc.html   http://www.infoplease.com/ipa/A0001769.html http://www.infoplease.com/atlas/latitude-longitude.html</t>
  </si>
  <si>
    <t>Wollen sie noch andere Treibhausgase verursacht durch Flugzeuge inkludieren? (O3, NOx, Wasserdampf und contrails, in kg of CO2 equivalent).  Yes=1  -  No=0</t>
  </si>
  <si>
    <t>Flugkilometer des ersten Flugs (lassen sie  -527 im grauen Kästchen, falls sie nicht geflogen sind)</t>
  </si>
  <si>
    <t>Flugkilometer des zweiten Flugs (lassen sie  -527 im grauen Kästchen, falls sie nicht geflogen sind)</t>
  </si>
  <si>
    <t>Flugkilometer des dritten Flugs (lassen sie  -527 im grauen Kästchen, falls sie nicht geflogen sind)</t>
  </si>
  <si>
    <t>Flugkilometer des 4ten Flugs (lassen sie  -527 im grauen Kästchen, falls sie nicht geflogen sind)</t>
  </si>
  <si>
    <t>Flugkilometer des 5ten Flugs (lassen sie  -527 im grauen Kästchen, falls sie nicht geflogen sind)</t>
  </si>
  <si>
    <t>Flugkilometer des 6ten Flugs (lassen sie  -527 im grauen Kästchen, falls sie nicht geflogen sind)</t>
  </si>
  <si>
    <t>Flugkilometer des 7ten Flugs (lassen sie  -527 im grauen Kästchen, falls sie nicht geflogen sind)</t>
  </si>
  <si>
    <t>Flugkilometer des 8ten Flugs (lassen sie  -527 im grauen Kästchen, falls sie nicht geflogen sind)</t>
  </si>
  <si>
    <t>Die Anzahl von hoch gewachsenen Bäumen, die benötigt werden, um das CO2 aus der Luft zu absorbieren (in Millionen) :</t>
  </si>
  <si>
    <r>
      <t>Waldfläche, die dafür benötigt würde  (in km</t>
    </r>
    <r>
      <rPr>
        <b/>
        <vertAlign val="superscript"/>
        <sz val="15"/>
        <color indexed="9"/>
        <rFont val="Arial"/>
        <family val="2"/>
      </rPr>
      <t>2</t>
    </r>
    <r>
      <rPr>
        <b/>
        <sz val="15"/>
        <color indexed="9"/>
        <rFont val="Arial"/>
        <family val="2"/>
      </rPr>
      <t>) :</t>
    </r>
  </si>
  <si>
    <t>EMISSIONEN VERURSACHT DURCH HEIZUNGEN</t>
  </si>
  <si>
    <t>GASHEIZUNG</t>
  </si>
  <si>
    <t>Tragen Sie bitte für eines der folgenden Vorschläge ein :</t>
  </si>
  <si>
    <t>Ihr Gasverbrauch (in Kubikmetern)</t>
  </si>
  <si>
    <t>kg CO2</t>
  </si>
  <si>
    <t>Ihr Gasverbrauch (in 100's of cubic feet)</t>
  </si>
  <si>
    <t>Ihr Gasverbauch (in kWh – Kilowattstunden)</t>
  </si>
  <si>
    <t>Ihre Gasrechnung in €</t>
  </si>
  <si>
    <t>Kohleheizung</t>
  </si>
  <si>
    <t>In Kilogramm – Ein Sack Kohle wiegt normalerweise 50kg</t>
  </si>
  <si>
    <t>Kilogramm Kohle für eine Hausheizung (mittlere Qualität)</t>
  </si>
  <si>
    <t xml:space="preserve">Kilograms of bituminous </t>
  </si>
  <si>
    <t>WOOD</t>
  </si>
  <si>
    <t>Kilogramm Anthrazit für eine Hausheizung (hohe Qualität)</t>
  </si>
  <si>
    <t>Kilogramm von mittelmäßiger Kohle in der Industrie verwendet</t>
  </si>
  <si>
    <t>Kilogramm von sehr minderwertiger Kohle (Braunkohle)</t>
  </si>
  <si>
    <t>Note : Holzheizungen werden nicht berücksichtigt, da sie CO2-Neutral sind (man verbrennt nur, was der Baum im Laufe seines Lebens an CO2 absorbiert hat)</t>
  </si>
  <si>
    <t>Ölheizung</t>
  </si>
  <si>
    <t>Geben sie eine Zahl für eines der folgenden Vorschläge ein :</t>
  </si>
  <si>
    <t>Ihr Ölverbrauch (in Liter)</t>
  </si>
  <si>
    <t>Ihr Ölverbrauch (in US Gallonen)</t>
  </si>
  <si>
    <t>Ihr Ölverbrauch (in UK Gallonen)</t>
  </si>
  <si>
    <t>Elektrische Heizung : Lassen sie bis hierher alles leer, da die elektrische Heizung in der Rubrik STROMVERBRAUCH weiter unten berücksichtigt wird</t>
  </si>
  <si>
    <t>EMISSIONEN VERURSACHT DURCH DEN STROMVERBRAUCH</t>
  </si>
  <si>
    <t>Geben sie die Amzahl von kWh (Kilowattstunden) in den Zeile(n) ein, die Ihrer Situation entspricht</t>
  </si>
  <si>
    <t>Selbstproduzierter „grüner“ (not fossiler) Stromverbrauch (in kWh)</t>
  </si>
  <si>
    <t>Vergewissern sie sich, dass der „grüne“ Strom (Wind, Solar, Wasserkraft) oder Ihr Elektrizitätsanbieter überhaupt kein Gas verbrennt; Falls das so wäre, müßten sie den Konversionsfaktor anpassen</t>
  </si>
  <si>
    <t>EMISSIONEN VERURSACHT DURCH AUTOS</t>
  </si>
  <si>
    <t>Geben sie den Gesamtverbrauch eines Jahres entweder in Liter oder Gallonen ein</t>
  </si>
  <si>
    <t>Benzinverbrauch (in Liter)</t>
  </si>
  <si>
    <t>Benzinverbrauch (in US liquid gallons)</t>
  </si>
  <si>
    <t>Benzinverbrauch (in UK gallons)</t>
  </si>
  <si>
    <t>Dieselverbrauch (in Liter)</t>
  </si>
  <si>
    <t>Mineralische</t>
  </si>
  <si>
    <t>Chemische</t>
  </si>
  <si>
    <t>Industrie</t>
  </si>
  <si>
    <t>Metallverarbeitende</t>
  </si>
  <si>
    <t>Stromerzeugende</t>
  </si>
  <si>
    <t>Andere</t>
  </si>
  <si>
    <t>Bindemittelproduktion</t>
  </si>
  <si>
    <t>Kalkproduktion</t>
  </si>
  <si>
    <t>Kalksteinverwendung</t>
  </si>
  <si>
    <t>Ammoniak</t>
  </si>
  <si>
    <t>Salpetersäure</t>
  </si>
  <si>
    <t xml:space="preserve">Adipinsäure </t>
  </si>
  <si>
    <t>Harnstoff</t>
  </si>
  <si>
    <t>Carbide</t>
  </si>
  <si>
    <t>Petrochemikalien</t>
  </si>
  <si>
    <t>Eisen, Stahl und Eisenlegierungen</t>
  </si>
  <si>
    <t>Andere Metalle</t>
  </si>
  <si>
    <t>Kohleminen</t>
  </si>
  <si>
    <t>Ölproduktion</t>
  </si>
  <si>
    <t>Gasproduktion und -verteilung</t>
  </si>
  <si>
    <t>Belüftung und Abfackeln von Öl/Gasprodukten.</t>
  </si>
  <si>
    <t>Produktion von Halogenkohlenwasserstoff</t>
  </si>
  <si>
    <t>Verwendung von Halogenkohlenwasserstoff and SF6</t>
  </si>
  <si>
    <t>Biologische Abfallverwertung</t>
  </si>
  <si>
    <t>Table 5: Faktoren der Prozessemissionen</t>
  </si>
  <si>
    <t>Methan</t>
  </si>
  <si>
    <t>Stickoxide</t>
  </si>
  <si>
    <t>Perfluorbutan</t>
  </si>
  <si>
    <t>Perfluormethan</t>
  </si>
  <si>
    <t>Perfluorpentan</t>
  </si>
  <si>
    <t>Perfluorocyclobutan</t>
  </si>
  <si>
    <t>Perfluorethan</t>
  </si>
  <si>
    <t>Perfluorhexan</t>
  </si>
  <si>
    <t>Perfluoropropan</t>
  </si>
  <si>
    <t>Anzahl emittiert pro Jahr in Tonnen</t>
  </si>
  <si>
    <t xml:space="preserve">Natriumkarbonatverwendung oder -produktion </t>
  </si>
  <si>
    <t>Berechnen sie Ihre CO2 Emissionen</t>
  </si>
  <si>
    <t>Für das Jahr : 2007  </t>
  </si>
  <si>
    <t>Ihre CO2 Einsparungsmöglichkeiten</t>
  </si>
  <si>
    <t>(CO2-Fußabdruck)</t>
  </si>
  <si>
    <t>und lernen sie, wie Sie Ihre CO2 Emissionen reduzieren können</t>
  </si>
  <si>
    <t>Es kann zur Berechnung einer Familie, eines Unternehmens, einer Gruppe oder eines einzelnen verwendet werden</t>
  </si>
  <si>
    <t xml:space="preserve"> mit dieser neuen und leistungsfähigen CO2-Berechnung.</t>
  </si>
  <si>
    <t>Geben Sie in den grauen Kästchen die statistischen Daten ihres Lades ein</t>
  </si>
  <si>
    <t>Wie groß ist die Bevölkerung (In Millionen) :</t>
  </si>
  <si>
    <t xml:space="preserve"> http://www.ecolo.org/documents/documents_in_english/IEA-Stats-all-03.html</t>
  </si>
  <si>
    <t>Wie hoch ist die Gesamt-CO2-Emission in ihrem Land (in Megatonnen)</t>
  </si>
  <si>
    <t>http://www.ecolo.org/documents/documents_in_english/IEA-Stats-all-03.html</t>
  </si>
  <si>
    <t>Wie hoch ist der gesamte elektrische Verbrauch in Ihrem Land (in Terawattstunden) :</t>
  </si>
  <si>
    <t>CO2 Emissionen in Ihrem Land, die für Elektrizität verbraucht werden (in grams of CO2/kWh)</t>
  </si>
  <si>
    <t>http://www.ecolo.org/documents/documents_in_english/CO2-per-kWh.gif</t>
  </si>
  <si>
    <t>CO2-Emissionen verursacht durch die Elektrizitätsgewinnung in Ihrem Land :</t>
  </si>
  <si>
    <t xml:space="preserve"> Millionen Tonnen CO2</t>
  </si>
  <si>
    <t>Wenn nötig, verändern Sie ihre persönlichen Einsparungen und verwenden sie ein anderes Szenario, in dem Sie Ihren Politikern eine andere Stromerzeugungsart vorschlagen, solange bis sie einen akzeptablen CO2-Emissionswert haben</t>
  </si>
  <si>
    <t>(1000 kg Kurzzeitabschätzung /500 kg Langzeitabschätzung : Privatanteil der Emissionen CO2 pro Person/Jahr, den der Planet -Ozean und Vegetation ohne Schaden ertragen kann</t>
  </si>
  <si>
    <t>(In der Langzeitabschtzung ist der Schlüsselfaktor der Kohlenstoff, der in der Tiefe der Meere gebunden werden kann, die Zahl ist kleiner als1.7 GtC=6Gt CO2 (IPCC 2001, or Socolow &amp; Pascala), = 1000 kg CO2 maximal pro Person und pro Jahr (nur 500 kg für Privatanteil und 500 kg für den Gemeinschaftsanteil s.u.).</t>
  </si>
  <si>
    <t>1: ENERGIETRÄGER (kein Transport)</t>
  </si>
  <si>
    <t>ENERGIETRÄGER (kein Transport)</t>
  </si>
  <si>
    <t>Treibstoff</t>
  </si>
  <si>
    <t>Anzahl pro Jahr</t>
  </si>
  <si>
    <t>Schweröl</t>
  </si>
  <si>
    <t xml:space="preserve">Kohle </t>
  </si>
  <si>
    <t>Flüssiggas</t>
  </si>
  <si>
    <t>Flugbenzin</t>
  </si>
  <si>
    <t>Koks</t>
  </si>
  <si>
    <t>Kerosin</t>
  </si>
  <si>
    <t>Andere Öle</t>
  </si>
  <si>
    <t>Benzin</t>
  </si>
  <si>
    <t>Schmiermittel</t>
  </si>
  <si>
    <t>Verschiedene Raffinerieprodukte</t>
  </si>
  <si>
    <t>Erneuerbare</t>
  </si>
  <si>
    <t>Gesamt</t>
  </si>
  <si>
    <t>AUTOTRANSPORT</t>
  </si>
  <si>
    <r>
      <t xml:space="preserve">ENTWEDER LITER </t>
    </r>
    <r>
      <rPr>
        <b/>
        <i/>
        <sz val="10"/>
        <rFont val="Arial"/>
        <family val="2"/>
      </rPr>
      <t>ODER GEFAHRENE KILOMETER</t>
    </r>
  </si>
  <si>
    <t>verflüssigtes Erdgas</t>
  </si>
  <si>
    <t>Liter</t>
  </si>
  <si>
    <t>Tonnen</t>
  </si>
  <si>
    <t>Anzahl</t>
  </si>
  <si>
    <t>Table 8: Passagiertransportkonversionsfaktoren für Diesel</t>
  </si>
  <si>
    <t>&gt; 1.4l Motor</t>
  </si>
  <si>
    <t>1.4 – 2.1l Motor</t>
  </si>
  <si>
    <t>&gt; 2.1 litres</t>
  </si>
  <si>
    <t>Durschschnittliches Auto</t>
  </si>
  <si>
    <t>Einheiten</t>
  </si>
  <si>
    <t>&lt; 2.0 l</t>
  </si>
  <si>
    <t>&gt; 2.0 l</t>
  </si>
  <si>
    <t>Durchschnittliches Dieselauto</t>
  </si>
  <si>
    <t>Tabelle 7:  Passagiertransportkonversionsfaktoren für Benzin</t>
  </si>
  <si>
    <t>Tabelle 6: Standardstrassenverkehrskonversionsfaktor</t>
  </si>
  <si>
    <t>Tabelle 10: Frachttransportkonversionsfaktoren für Diesel</t>
  </si>
  <si>
    <t>Art des LKW</t>
  </si>
  <si>
    <t xml:space="preserve">Gesamt-km </t>
  </si>
  <si>
    <t>Treibstoff pro km</t>
  </si>
  <si>
    <t xml:space="preserve"> kg CO2</t>
  </si>
  <si>
    <t>Sattelschlepper</t>
  </si>
  <si>
    <t>Normal</t>
  </si>
  <si>
    <t>Auto</t>
  </si>
  <si>
    <t>gefahrene Kilometer</t>
  </si>
  <si>
    <t>ANDERE TRANSPORTARTEN</t>
  </si>
  <si>
    <t>Tabelle 9: Passagierzug und -flugzeug</t>
  </si>
  <si>
    <t>Zug</t>
  </si>
  <si>
    <r>
      <t>Flugzeug</t>
    </r>
    <r>
      <rPr>
        <vertAlign val="subscript"/>
        <sz val="10"/>
        <rFont val="Arial"/>
        <family val="2"/>
      </rPr>
      <t xml:space="preserve">4    </t>
    </r>
  </si>
  <si>
    <t>Reiseart</t>
  </si>
  <si>
    <t>Langstrecke</t>
  </si>
  <si>
    <t>Kurzstrecke</t>
  </si>
  <si>
    <t>Personen-km tr(pkm)</t>
  </si>
  <si>
    <t>% geladene Ware</t>
  </si>
  <si>
    <t>Frachttransportart</t>
  </si>
  <si>
    <t>Flugzeug</t>
  </si>
  <si>
    <r>
      <t>Schiff</t>
    </r>
    <r>
      <rPr>
        <vertAlign val="subscript"/>
        <sz val="10"/>
        <rFont val="Arial"/>
        <family val="2"/>
      </rPr>
      <t>5</t>
    </r>
  </si>
  <si>
    <t>PROZESS EMISSIONEN</t>
  </si>
  <si>
    <t>Table 11: Andere Frachtkonversionsfaktoren</t>
  </si>
  <si>
    <t>Table 4: Prozessrelevante Emissionen</t>
  </si>
  <si>
    <t>Prozess</t>
  </si>
  <si>
    <t>Produkte</t>
  </si>
  <si>
    <t>Ihre Einsparungen x Anzahl der Millionen Einwohner Ihres Landes / (1000 kgs/ton)</t>
  </si>
  <si>
    <t>Ausgehend von den bereits oben genannten Bäumen, die im Abstand von 19Assuming a forest is composed of one large tree such as above 0 Metern gepflanzt wurden (10 000 Bäume pro Quadratkilometer)</t>
  </si>
  <si>
    <t>(grober Wert pro Passagier: 0.5 kg of CO2/km or 0.82 kg of CO2/mile)</t>
  </si>
  <si>
    <t>Berechnungen von  Chooseclimate.com :</t>
  </si>
  <si>
    <t>Treibstoff pro Passagier (Daten für B-747)</t>
  </si>
  <si>
    <t>Treibstoff in kg = [7840 + 10.1 * (Distanz in km-250)] (*2 wenn Hin- + Rückflug)</t>
  </si>
  <si>
    <t>Andere Treibhausgase als CO2, die durch Flugzeuge ausgestossen werden, vervielfachen die Globale Erwärmung verursacht durch CO2  um  2.7 (x 1.7 addiert)</t>
  </si>
  <si>
    <t>(7840 kg starten, steigen, landen; 10.1 kg/km normale Flughöhe)</t>
  </si>
  <si>
    <t>Passageire = 370 * [Belegung] - In diesem Fall 75% Belegung.</t>
  </si>
  <si>
    <t>Gesamter Effekt des CO2, Ozon (durch NOx), Wasserdampf and Kondesnstreifen</t>
  </si>
  <si>
    <t xml:space="preserve"> is ca 2.7 x Effekt des CO2</t>
  </si>
  <si>
    <t>(kg CO2 = CO2 = kg Treibstoff * (44/12 * 156/184) [Molekularmasse])</t>
  </si>
  <si>
    <t>Automatische Berücksichtigung der Treibhausgase mit dem Faktor 2.7</t>
  </si>
  <si>
    <t>Die saubere Energie beträgt ca. 150 kWh/m2 pro Jahr (kann durch lokales Klima etwas variieren). Hängt auch davon ab, wie Ihr Land Strom gewinnt</t>
  </si>
  <si>
    <t>IHR CO2 FUSSABDRUCK PRO PERSON BETRÄGT:</t>
  </si>
  <si>
    <t>Mittelklassewagen (benzingetrieben) 1.4 bis 2.1l</t>
  </si>
  <si>
    <t>Fahrzeug (benzingetrieben) &gt;  2.1l</t>
  </si>
  <si>
    <t>Kleinwagen (benzingetrieben) &lt; 1.4l Motor</t>
  </si>
  <si>
    <t>Kleinwagen (Diesel) &lt;  2.0l Motor</t>
  </si>
  <si>
    <t>Wagen &gt; 2.0l Motor</t>
  </si>
  <si>
    <t>Reduzieren sie die Raumtemperatur, wenn Ihre Heizung von fossilen Treibstoffen betrieben wird (Reduktion in °C)</t>
  </si>
  <si>
    <t>Verwenden Sie Solarkollektoren um Wasser zu erhitzen statt fossiler Brennstoffe (Ja=1, Nein=0)</t>
  </si>
  <si>
    <t>Verwenden Sie ein Belüftungssystem eines Passivhauses (Yes=1, No=0)</t>
  </si>
  <si>
    <t>Verwenden Sie statt einer Gastherme eine geothermische Heizpumpe (Ja=1, Nein=0)</t>
  </si>
  <si>
    <t>(Durschschnittlicher Wert pro Einwohner, den der Planet - Ozean und Vegetation - ohne Schaden verträgt)</t>
  </si>
  <si>
    <t>eingespartes CO2 = Anzahl der ursprünglichen Produktion ersetzt durch [5 x TWh produziert x grCO2/kWh in Ihrem Land x 10(9)kWh/TWh x 10(-12)gr/million tons] - Emissionen der erforderlichen Backupgaskraftwerke[4 x  TWh produziert x 700grCO2/kWh x 10(9)kWh/TWh x 10(-12)gr/million tons] =(5*C173*B12/1000) - (4*C173*0,7)</t>
  </si>
  <si>
    <t>eingespartes CO2  = Emissionen der ursprünglichen Produktion ersetzt durch [TWh  x grCO2/kWh in ihrem Land x 10(9)kWh/TWh x 10(-12)gr/million tons] (kein Backupgaskraftwerk) =(C173*B12/1000)</t>
  </si>
  <si>
    <t>Millionen Tonnen CO2</t>
  </si>
  <si>
    <t>Persönlicher Fußabdruck - Ihre möglichen Einsparungen - zusätzliche Einsparungen dank Ihrer Politiker</t>
  </si>
  <si>
    <t>(Ihre CO2 Emissionen der Stromerzeugung in kg CO2 / Ihre gesamten CO2 Emissionen)*(Reduzierung von Wind+Nuklear in Megatonnen CO2 anhand des gesamten CO2 der Stromerzeugung in Megatonnen CO2 / Gesamtes CO2 von Stromerzeugung in Megatonnen CO2)</t>
  </si>
  <si>
    <t>Spart ca 7% einer Heizung für jedes °C</t>
  </si>
  <si>
    <t>Spart ca 10% einer Heizung nach Abzug vorangegangener Zeilen</t>
  </si>
  <si>
    <t>Spart ca 30% einer Heizung nach Abzug vorangegangener Zeilen</t>
  </si>
  <si>
    <t>Die CO2-Einsparung hängt davon ab, wie Ihr Land Strom gewinnt, der Wert stimmt nach Abzug vorangegangener Zeilen</t>
  </si>
  <si>
    <t>Licht abschalten, Ersetzen der Glübirnen mit Energiesparlampen, Reduzierter Gebrauch einiger Geräte, Abschalten von Computern, wenn nicht benötigt..... Reduktion proportional zur gesamten Emission durch Stromerzeugung</t>
  </si>
  <si>
    <t>Spart viel Ihrer Emissionen, die im Zusammenhang mit Strom stehen , nach Stromeinsaprungen vorangegangener Zeilen</t>
  </si>
  <si>
    <t>Spart 70% Ihrer Emissionen proportional zur Anzahl der gefahrenen Kilometer</t>
  </si>
  <si>
    <t>Spart viel ein, besonders bei Langstreckenflüge</t>
  </si>
  <si>
    <t>Emissionen dieses Jahres minus Ersparnisse für nächstes Jahr</t>
  </si>
  <si>
    <t>Diese CO2-Einsparungen hängen von der Stromerzeugung Ihres Landes ab</t>
  </si>
  <si>
    <t>Ersparnisse 3 Zeilen zuvor werden wieder abgezogen; Diese CO2-Ersparnisse hängen von der Stromgewinnung Ihres Landes ab</t>
  </si>
  <si>
    <t>Dies kann zu massiven Einsparungen führen</t>
  </si>
  <si>
    <t>Konventioneller Energieverbrauch für das Jahr (in kWh)</t>
  </si>
  <si>
    <t>Quelle des Konversionsfaktor: Die Daten ihres Landes am Anfang dieser Datei</t>
  </si>
  <si>
    <t>1 US liq gal = 3.79 Liter</t>
  </si>
  <si>
    <t>1 UK gal = 4.55 Liter</t>
  </si>
  <si>
    <t>Quelle des Konversionsfaktor: Defra Daten</t>
  </si>
  <si>
    <t>kg  CO2</t>
  </si>
  <si>
    <t>FÜR PRIVATPERSONEN, GRUPPEN ODER FAMILIEN, VERGEICHEN SIE BITTE:</t>
  </si>
  <si>
    <t>wird Ihren CO2 Asustoß reduzieren um :</t>
  </si>
  <si>
    <t>% Ihrer Emissionen</t>
  </si>
  <si>
    <t>TWh pro Jahr</t>
  </si>
  <si>
    <t>1000 oder 500</t>
  </si>
  <si>
    <t>kg CO2 pro Person / Jahr</t>
  </si>
  <si>
    <t>Turbinen, die doppelt so hoch sind wie Notre Dame, schauen Sie auf http://www.ecolo.org/photos/eole/cathedral-wind-Paris-en.jpg</t>
  </si>
  <si>
    <t>1600 MW Reaktor, wobei jeder ca so groß wie ein Fussballfeld ist, schauen sie auf  http://www.ecolo.org/photos/npp/EPR-in-blue.JPG</t>
  </si>
  <si>
    <t>(12 Milliarden Tonnen CO2 werden vom Ökosystem jedes Jahr absorbiert, geteilt durch 6 Milliarden Menschen = 2 Tonnen pro Mensch   (ca die Hälfte als Privatanteil und die andere Hälfte als „Gemeinschaftlicher Anteil“ gerechnet)</t>
  </si>
  <si>
    <t>WICHTIGKEIT DER   PERSÖNLICHEN AKTIONEN:</t>
  </si>
  <si>
    <t>Schauen wir, was passiert, wenn in Ihrem Land mehr Wind- oder Atomkraftwerke gebaut würden, als Ersatz für derzeitige Kraftwerke</t>
  </si>
  <si>
    <t>Windkraftwerke haben einen Wirkungsgrad von ca 20% (aus deutschen Zahlen) , daher brauchen sie ein verläßliches Backupsystem für die restlichen 80% (normalerweise Gasturbinen)</t>
  </si>
  <si>
    <t>DIE ANZAHL DER NUKLEARREAKTOREN IST EIN TECHNICHES MAXIMUM  IN IHREM LAND</t>
  </si>
  <si>
    <t>DIE ANZAHL DER 2M-WINDKRAFTWERKE IST EIN TECHNICHES MAXIMUM  IN IHREM LAND</t>
  </si>
  <si>
    <t>0.1 km2 pro Windkraftwerk +  zusätzliches Gaskraftwerk (vernachlässigbare Fläche des Gaskraftwerkes, ist um den Faktor 100 kleiner: 2MW = 1/500 eines 1000 MW Gaskraftwerkes, ergibt ca 0.2 km2= 0,0004km2 zusätzliche "Backupfläche" pro Windkaftwerk)</t>
  </si>
  <si>
    <t>1 km2 pro Reaktor</t>
  </si>
  <si>
    <t>pro Windkraftwerk 0,0035 TWh = 20% x 2 MW x 8760 Stunden/Jahr/ (1 million M in one G)</t>
  </si>
  <si>
    <t>pro Reaktor 11,9 TWh = 85% x 1600 MW x 8760 Stunden/Jahr/ (1 million M in one G)</t>
  </si>
  <si>
    <t>Climate Change Programme (e.g. CFCs, HCFCs). GWP values for refrigerant HFC blends</t>
  </si>
  <si>
    <r>
      <t>HFC – 245</t>
    </r>
    <r>
      <rPr>
        <vertAlign val="subscript"/>
        <sz val="10"/>
        <rFont val="Arial"/>
        <family val="2"/>
      </rPr>
      <t>ca</t>
    </r>
  </si>
  <si>
    <t>should be calculated on the basis of the percentage blend composition (e.g. the GWP for</t>
  </si>
  <si>
    <t>HFC – 32</t>
  </si>
  <si>
    <t>R404a that comprises is 44% HFC125, 52% HFC143a and 4% HFC134a is 2800x0.44 +</t>
  </si>
  <si>
    <t>HFC – 41</t>
  </si>
  <si>
    <t>3800x0.52 + 1300x0.04 = 3260).</t>
  </si>
  <si>
    <r>
      <t>HFC – 43 – l0</t>
    </r>
    <r>
      <rPr>
        <vertAlign val="subscript"/>
        <sz val="10"/>
        <rFont val="Arial"/>
        <family val="2"/>
      </rPr>
      <t>mee</t>
    </r>
  </si>
  <si>
    <t>*</t>
  </si>
  <si>
    <t>© Bruno Comby - Diese Datei darf für nichtkommerzielle Zwecke frei verwendet, vervielfacht und verteilt werden.</t>
  </si>
  <si>
    <t>Mit vielen Dank für Ihre Korrekturen, Bemerkungen und Vorschlägen: Stephen Stretten, Berol Robinson, Michel Lung.</t>
  </si>
  <si>
    <t>Dies ist Open-Source Software, verwenden sie es, wie sie wollen, solange</t>
  </si>
  <si>
    <t>sie den Autor und die EFN (Webseite ecole.org) erwähnen und informieren sie uns über Verbesserungen</t>
  </si>
  <si>
    <t>Durchschnittliches Resultat eines Briten (Privatanteil)</t>
  </si>
  <si>
    <t>EFN (www.ecolo.org) schlägt dieses einfache Werkzeug vor, um Ihnen zu helfen, Ihren CO2-Fußabdruck (CO2-Emissionen) zu errechnen)</t>
  </si>
  <si>
    <t xml:space="preserve">Entdecken Sie den Wert für den Planeten der CO2-Reduzierung Ihres eigenen Lebens (oder Familie oder Gruppe oder Firma) </t>
  </si>
  <si>
    <t>Zuerst, prüfen sie Ihre Meßgeräte und notieren sie sich Gas- und Elektrizitätsstand sowie den Tachostand Ihres Autos am 1ten Jänner und am 31ten Dezember</t>
  </si>
  <si>
    <t xml:space="preserve"> ( 2 Zeilen oberhalb berechnet)</t>
  </si>
  <si>
    <t>Die zugrundeliegenden Daten, die hier verwendet wurden: Der Baum absobiert 1,5 Tonnen ; durchschnittliche Lebensdauer 50 Jahre, das ergibt 0.03 Tonnen/Jahr</t>
  </si>
  <si>
    <t>Ihre Gasrechnung in englischen Pfund (ca)</t>
  </si>
  <si>
    <t>Tragen Sie Ihre persönlichen Daten in den grauen Kästchen ein; Kästchen in anderer Farbe sollten nicht verändert werden! (Konversionsfaktoren und Berechnungen)</t>
  </si>
  <si>
    <t>(à 0,402€/m3)</t>
  </si>
  <si>
    <t>Quelle des Konversionsfaktor: Carbon trust</t>
  </si>
  <si>
    <t>Quelle des Konversionsfaktorr: 0.353 hundreds of cubic feet in a cubic meter (from line above)</t>
  </si>
  <si>
    <t>Quelle : Perry Lindstrom, U.S. Greenhouse Gas Inventory, Energy Information Administration (DOE)</t>
  </si>
  <si>
    <t>Andere Konversionsfaktoren : http://www.hoptechno.com/nightcrew/sante7000/convert.cfm</t>
  </si>
  <si>
    <t>in the UK. Process emissions might be slightly different for processes operated in other</t>
  </si>
  <si>
    <t>countries.</t>
  </si>
  <si>
    <t>5For use of limestone in Flue Gas Desulphurisation (FGD) and processes such as those in</t>
  </si>
  <si>
    <t>Fletton Brick Manufacture6</t>
  </si>
  <si>
    <t>the glass industry. Not all uses of limestone release CO2.</t>
  </si>
  <si>
    <t>Quelle des Konversionsfaktor: http://en.wikipedia.org/wiki/Wind_power or http://72.36.212.11/prod/180-1.pdf</t>
  </si>
  <si>
    <t>6This is specific to Fletton brick manufacture at the mineral processing stage, a process</t>
  </si>
  <si>
    <t>that uses clay with high organic content. Other types of brick manufacturing in the UK do</t>
  </si>
  <si>
    <t>not release Greenhouse Gas emissions during the processing stage</t>
  </si>
  <si>
    <t>Source: Greenhouse Gas Inventory Reference Manual, Revised 1996 IPCC Guidelines for</t>
  </si>
  <si>
    <t>National greenhouse Gas Inventories, (1997) IPCC, adapted for UK processes by Netcen.</t>
  </si>
  <si>
    <t>Caprolactam</t>
  </si>
  <si>
    <t>Aluminium</t>
  </si>
  <si>
    <t>Magnesium</t>
  </si>
  <si>
    <t>Total kg CO2 equivalent</t>
  </si>
  <si>
    <t>CO2 (excl fuel/transport)</t>
  </si>
  <si>
    <t>Source: The conversion factors in the table above incorporate global warming potential</t>
  </si>
  <si>
    <t>(GWP) values published by the IPCC in its Second Assessment Report (Climate Change</t>
  </si>
  <si>
    <t>1995. The Science of Climate Change. Contribution of Working Group I to the Second</t>
  </si>
  <si>
    <t>HFC – 125</t>
  </si>
  <si>
    <t>Assessment Report of the Intergovernmental Panel on Climate Change. (Eds. J.T</t>
  </si>
  <si>
    <t>HFC – 134</t>
  </si>
  <si>
    <t>Houghton et al). Published for the Intergovernmental Panel on Climate Change by</t>
  </si>
  <si>
    <r>
      <t>HFC – 134</t>
    </r>
    <r>
      <rPr>
        <vertAlign val="subscript"/>
        <sz val="10"/>
        <rFont val="Arial"/>
        <family val="2"/>
      </rPr>
      <t>a</t>
    </r>
  </si>
  <si>
    <t>Cambridge University Press 1996). Revised GWP values have since been published by</t>
  </si>
  <si>
    <t>HFC – 143</t>
  </si>
  <si>
    <t>the IPCC in the Third Assessment Report (2001) but current UNFCCC Guidelines on</t>
  </si>
  <si>
    <r>
      <t>HFC – 143</t>
    </r>
    <r>
      <rPr>
        <vertAlign val="subscript"/>
        <sz val="10"/>
        <rFont val="Arial"/>
        <family val="2"/>
      </rPr>
      <t>a</t>
    </r>
  </si>
  <si>
    <t>Reporting and Review, adopted before the publication of the Third Assessment Report,</t>
  </si>
  <si>
    <r>
      <t>HFC – 152</t>
    </r>
    <r>
      <rPr>
        <vertAlign val="subscript"/>
        <sz val="10"/>
        <rFont val="Arial"/>
        <family val="2"/>
      </rPr>
      <t>a</t>
    </r>
  </si>
  <si>
    <t>require emission estimates to be based on the GWPs in the IPCC Second Assessment</t>
  </si>
  <si>
    <r>
      <t>HFC – 227</t>
    </r>
    <r>
      <rPr>
        <vertAlign val="subscript"/>
        <sz val="10"/>
        <rFont val="Arial"/>
        <family val="2"/>
      </rPr>
      <t>ea</t>
    </r>
  </si>
  <si>
    <t>Report.</t>
  </si>
  <si>
    <t>HFC – 23</t>
  </si>
  <si>
    <t>Not all refrigerants in use are classified as greenhouse gases for the purposes of the</t>
  </si>
  <si>
    <r>
      <t>HFC – 236</t>
    </r>
    <r>
      <rPr>
        <vertAlign val="subscript"/>
        <sz val="10"/>
        <rFont val="Arial"/>
        <family val="2"/>
      </rPr>
      <t>fa</t>
    </r>
  </si>
  <si>
    <t>Source: Continuing Survey of Road Goods Transport 2003; NAEI (Netcen, 2005) based on</t>
  </si>
  <si>
    <t>load correction factors taken from COPERT III.</t>
  </si>
  <si>
    <t>Source: Netcen (2005)</t>
  </si>
  <si>
    <t>The rail factor refers to an average emission per passenger kilometre for diesel and electric trains weighted by the proportion of electric to diesel train kilometres in 2003.</t>
  </si>
  <si>
    <t>The factor for diesel trains has been calculated based on total diesel consumed by the railways in 2003 provided by ATOC.</t>
  </si>
  <si>
    <t>The factor for electric trains has been calculated based on average kWh per kilometre for a typical electric train and the grid electricity factor in Table 3.</t>
  </si>
  <si>
    <t>The diesel/electric passenger train weighting is based on data for 2003 from AEAT Rail.</t>
  </si>
  <si>
    <t>Aircraft factors based on factors in IPCC Manual.</t>
  </si>
  <si>
    <t>Factors for a long haul flight refer to a 5,000 km journey on a typical 450 seat capacity aircraft used for these journeys, with a 70% load factor.</t>
  </si>
  <si>
    <t>Factors for a short haul flight refer to a 500 km journey on a typical 128 seat capacity aircraft used for these journeys, with a 65% load factor.</t>
  </si>
  <si>
    <t>Tonne km</t>
  </si>
  <si>
    <t>Source: NETCEN, British Airways, DHL, Railtrack, English, Welsh and Scottish Railways LTD</t>
  </si>
  <si>
    <t>These factors are being reviewed and are likely to change</t>
  </si>
  <si>
    <t>3 revised figure in line with factors used in National Air Emissions Inventory</t>
  </si>
  <si>
    <t>4 Long haul - Asia, Australasia, the Americas, Middle and Far East Short haul - average 500km</t>
  </si>
  <si>
    <t>small ro-ro</t>
  </si>
  <si>
    <t>5 Small ro-ro - 1,268 deadweight tonnes, max speed 16.2 knots</t>
  </si>
  <si>
    <t>large ro-ro</t>
  </si>
  <si>
    <t>Large ro-ro - 4,478 deadweight tonnes, max speed 23.2 knots</t>
  </si>
  <si>
    <t>Small tanker - 844 deadweight tonnes, max speed 8.2 knots</t>
  </si>
  <si>
    <t>Large Tanker - 18,371deadweight tonnes, max speed 15 knots</t>
  </si>
  <si>
    <t>Small Bulk carrier - 1,720 deadweight tonnes, max speed 10.9 knots</t>
  </si>
  <si>
    <t>Large Bulk carrier - 14,201 deadweight tonnes, max speed 11.2 knots</t>
  </si>
  <si>
    <t>Emission</t>
  </si>
  <si>
    <t>CO2</t>
  </si>
  <si>
    <t>CH4</t>
  </si>
  <si>
    <t>N2O</t>
  </si>
  <si>
    <t>PFC</t>
  </si>
  <si>
    <t>SF6</t>
  </si>
  <si>
    <t>HFC</t>
  </si>
  <si>
    <t>y</t>
  </si>
  <si>
    <t>4These process related emissions refer to the types of processes that are used specifically</t>
  </si>
  <si>
    <t>Einheit</t>
  </si>
  <si>
    <t>Faktor</t>
  </si>
  <si>
    <t>kleiner Frachter</t>
  </si>
  <si>
    <t>großer Frachter</t>
  </si>
  <si>
    <t>kleiner Tanker</t>
  </si>
  <si>
    <t>großer Tanker</t>
  </si>
  <si>
    <t>Festtreibstoffumwandlung</t>
  </si>
  <si>
    <t>Konversion Factor</t>
  </si>
  <si>
    <t>combustion - railways and Agriculture. Users who wish to use coal factors for types of</t>
  </si>
  <si>
    <t>coal used in specific industry applications should use the factors given in the UKETS.</t>
  </si>
  <si>
    <t>3 A zero conversion factor can only be applied if your company has entered into a</t>
  </si>
  <si>
    <t>renewables source contract with an energy supplier, that has acquired Climate Change</t>
  </si>
  <si>
    <t>Levy Exemption Certificates (LECs) for the electricity supplied to you as a non-domestic</t>
  </si>
  <si>
    <t>electricity consumer.</t>
  </si>
  <si>
    <t>Naphtha</t>
  </si>
  <si>
    <t>TOTAL</t>
  </si>
  <si>
    <t>Source: National Atmospheric Emissions Inventory for 2003 developed by Netcen (2005).</t>
  </si>
  <si>
    <t>UK Greenhouse Gas Inventory for 2003 developed by Netcen (2005), Digest of UK Energy</t>
  </si>
  <si>
    <t>Statistics DTI 2004 and carbon factors for fuels from UKPIA (2004)</t>
  </si>
  <si>
    <t>miles</t>
  </si>
  <si>
    <t>These factors are average values for the UK car fleet in 2003 travelling on average trips in</t>
  </si>
  <si>
    <t>km</t>
  </si>
  <si>
    <t>the UK. Source: NAEI (Netcen, 2005) based on data from DfT combined with factors from</t>
  </si>
  <si>
    <t>TRL as functions of average speed of vehicle derived from test data under real world</t>
  </si>
  <si>
    <t>testing cycles.</t>
  </si>
  <si>
    <t>Fuel conversion factor</t>
  </si>
  <si>
    <t>The % weight laden refers to the extent to which the vehicle is loaded to their maximum</t>
  </si>
  <si>
    <t>carrying capacity. So a 0% weight laden means the vehicle is travelling carrying no loads.</t>
  </si>
  <si>
    <t>100% weight laden means the vehicle is travelling with loads bringing the vehicle to its</t>
  </si>
  <si>
    <t>maximum carrying capacity. If the % weight laden is unknown, an average figure of 50%</t>
  </si>
  <si>
    <t>should be used as a default figure. If the % weight laden is known, a more precise figure</t>
  </si>
  <si>
    <t>for the number of litres fuel per km can be derived as follows:</t>
  </si>
  <si>
    <t>For rigid lorries: litres fuel per km = 0.236 + 0.104 x (% weight laden)/100</t>
  </si>
  <si>
    <t>For articulated lorries: litres fuel per km = 0.311 + 0.137 x (% weight laden)/100</t>
  </si>
  <si>
    <t>These factors refer to vehicles running on diesel fuel.</t>
  </si>
  <si>
    <t>kg CO2 / kg</t>
  </si>
  <si>
    <t xml:space="preserve">Renewable Sources </t>
  </si>
  <si>
    <t>Domestic wood (2)</t>
  </si>
  <si>
    <t>Wood and Wood Waste</t>
  </si>
  <si>
    <t>WW</t>
  </si>
  <si>
    <t>Industrial wood (3)</t>
  </si>
  <si>
    <t>Tyres</t>
  </si>
  <si>
    <t>Tires/Tire-Derived Fuel</t>
  </si>
  <si>
    <t>TF</t>
  </si>
  <si>
    <t>Municipal solid waste</t>
  </si>
  <si>
    <t>Municipal Solid Waste</t>
  </si>
  <si>
    <t>MS</t>
  </si>
  <si>
    <t>Refuse-derived waste</t>
  </si>
  <si>
    <t>Straw</t>
  </si>
  <si>
    <t>Poultry litter</t>
  </si>
  <si>
    <t>General industrial waste</t>
  </si>
  <si>
    <t>Hospital waste</t>
  </si>
  <si>
    <t>To -&gt;</t>
  </si>
  <si>
    <t>therms</t>
  </si>
  <si>
    <t>kWh</t>
  </si>
  <si>
    <t>Btu</t>
  </si>
  <si>
    <t>MJ</t>
  </si>
  <si>
    <t>toe</t>
  </si>
  <si>
    <t>kcal</t>
  </si>
  <si>
    <t>1lb=</t>
  </si>
  <si>
    <t>kg</t>
  </si>
  <si>
    <t>From</t>
  </si>
  <si>
    <t>1 short ton =</t>
  </si>
  <si>
    <t>tonnes</t>
  </si>
  <si>
    <t>1lb/short ton</t>
  </si>
  <si>
    <t>kg/tonne</t>
  </si>
  <si>
    <t>1 Million BTU=</t>
  </si>
  <si>
    <t>1 lb/Million BTU=</t>
  </si>
  <si>
    <t>kg/kWh</t>
  </si>
  <si>
    <t xml:space="preserve">1 US gallon = </t>
  </si>
  <si>
    <t>litres</t>
  </si>
  <si>
    <t>1lb/gallon =</t>
  </si>
  <si>
    <t>kg/litre</t>
  </si>
  <si>
    <t>1000 ft3 =</t>
  </si>
  <si>
    <t>m3</t>
  </si>
  <si>
    <t>1 lb/ 1000 ft3 =</t>
  </si>
  <si>
    <t>kg / m3</t>
  </si>
  <si>
    <t xml:space="preserve">1 imperial gallon = </t>
  </si>
  <si>
    <t>1 US barrell =</t>
  </si>
  <si>
    <t>Litres</t>
  </si>
  <si>
    <t>1kWh=</t>
  </si>
  <si>
    <t>ft3</t>
  </si>
  <si>
    <t>100ft3=</t>
  </si>
  <si>
    <t>1m3</t>
  </si>
  <si>
    <t>BUSINESS CO2 Emissionsrechner</t>
  </si>
  <si>
    <t>Quelle: UK Department for Environment, Food and Rural Affairs (Defra)</t>
  </si>
  <si>
    <t>Anleitung: Füllen Sie die gelben Kästchen aus, stellen Sie dabei sicher, das sie nichts doppelt ausfüllen.</t>
  </si>
  <si>
    <t>SUMME</t>
  </si>
  <si>
    <t>GSAMTEMISSIONEN</t>
  </si>
  <si>
    <t>2: AUTOTRANSPORT</t>
  </si>
  <si>
    <t>3: ANDERE TRANSPORTMÖGLICHKEITEN</t>
  </si>
  <si>
    <t>4: ANDERE EMISSIONEN</t>
  </si>
  <si>
    <t>kg CO2 äquivalent</t>
  </si>
  <si>
    <t>GRAND TOTAL</t>
  </si>
  <si>
    <t>Tabelle  2: Umrechnung der Treibstoffarten zu CO2</t>
  </si>
  <si>
    <t>x</t>
  </si>
  <si>
    <t>Total kg CO2</t>
  </si>
  <si>
    <t>Strom</t>
  </si>
  <si>
    <t>Erdgas</t>
  </si>
  <si>
    <t>1The factor for electricity has been changed slightly from the previous guidelines to come</t>
  </si>
  <si>
    <t>into line with calculations for the Climate Change Levy Agreements and future</t>
  </si>
  <si>
    <t>Gas Oil</t>
  </si>
  <si>
    <t>requirements for Emissions Trading. It was calculated on the projected fuel mix for the grid</t>
  </si>
  <si>
    <t>1998-2000. Actual figures may differ from the projections, but to help with year on year</t>
  </si>
  <si>
    <t>comparisons we plan to use a constant value for the purposes of these Guidelines until the</t>
  </si>
  <si>
    <t>Diesel</t>
  </si>
  <si>
    <t>year 2010.</t>
  </si>
  <si>
    <t>2 Average emission factor for coal used in sources other than power stations and</t>
  </si>
  <si>
    <t>domestic, i.e. industry sources including collieries, Iron &amp; Steel, Autogeneration, Cement</t>
  </si>
  <si>
    <t>UK gallons</t>
  </si>
  <si>
    <t>production, Lime production, Other industry, Miscellaneous, Public Sector, Stationary</t>
  </si>
  <si>
    <t>Konversion CO2 per pkm</t>
  </si>
  <si>
    <t>kg CO2 pro Einheit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</si>
</sst>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\ %"/>
    <numFmt numFmtId="173" formatCode="#,##0.0"/>
    <numFmt numFmtId="174" formatCode="_(* #,##0.00_);_(* \(#,##0.00\);_(* \-??_);_(@_)"/>
    <numFmt numFmtId="175" formatCode="_-* #,##0.000_-;\-* #,##0.000_-;_-* \-??_-;_-@_-"/>
    <numFmt numFmtId="176" formatCode="_-* #,##0_-;\-* #,##0_-;_-* \-??_-;_-@_-"/>
    <numFmt numFmtId="177" formatCode="0.000"/>
    <numFmt numFmtId="178" formatCode="_-* #,##0.00_-;\-* #,##0.00_-;_-* \-??_-;_-@_-"/>
    <numFmt numFmtId="179" formatCode="0.0"/>
    <numFmt numFmtId="180" formatCode="0E+00"/>
    <numFmt numFmtId="181" formatCode="_-* #,##0.0_-;\-* #,##0.0_-;_-* \-??_-;_-@_-"/>
  </numFmts>
  <fonts count="30">
    <font>
      <sz val="10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24"/>
      <color indexed="39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5"/>
      <color indexed="9"/>
      <name val="Arial"/>
      <family val="2"/>
    </font>
    <font>
      <b/>
      <vertAlign val="superscript"/>
      <sz val="15"/>
      <color indexed="9"/>
      <name val="Arial"/>
      <family val="2"/>
    </font>
    <font>
      <b/>
      <sz val="15"/>
      <color indexed="57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5"/>
      <color indexed="9"/>
      <name val="Arial"/>
      <family val="2"/>
    </font>
    <font>
      <b/>
      <sz val="20"/>
      <color indexed="9"/>
      <name val="Arial"/>
      <family val="2"/>
    </font>
    <font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b/>
      <sz val="20"/>
      <color indexed="57"/>
      <name val="Arial"/>
      <family val="2"/>
    </font>
    <font>
      <b/>
      <sz val="15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172" fontId="0" fillId="0" borderId="0" xfId="0" applyNumberFormat="1" applyFont="1" applyAlignment="1">
      <alignment/>
    </xf>
    <xf numFmtId="0" fontId="0" fillId="3" borderId="1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1" fontId="0" fillId="0" borderId="0" xfId="0" applyNumberFormat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wrapText="1"/>
    </xf>
    <xf numFmtId="0" fontId="13" fillId="0" borderId="0" xfId="0" applyFont="1" applyAlignment="1">
      <alignment/>
    </xf>
    <xf numFmtId="172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7" fillId="0" borderId="1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1" fontId="7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wrapText="1"/>
    </xf>
    <xf numFmtId="0" fontId="1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 vertical="center"/>
    </xf>
    <xf numFmtId="172" fontId="10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3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2" fontId="1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12" fillId="0" borderId="0" xfId="0" applyNumberFormat="1" applyFont="1" applyAlignment="1">
      <alignment horizontal="left"/>
    </xf>
    <xf numFmtId="1" fontId="20" fillId="2" borderId="4" xfId="0" applyNumberFormat="1" applyFont="1" applyFill="1" applyBorder="1" applyAlignment="1">
      <alignment horizontal="center"/>
    </xf>
    <xf numFmtId="172" fontId="20" fillId="2" borderId="5" xfId="0" applyNumberFormat="1" applyFont="1" applyFill="1" applyBorder="1" applyAlignment="1">
      <alignment/>
    </xf>
    <xf numFmtId="1" fontId="20" fillId="2" borderId="6" xfId="0" applyNumberFormat="1" applyFont="1" applyFill="1" applyBorder="1" applyAlignment="1">
      <alignment horizontal="center"/>
    </xf>
    <xf numFmtId="1" fontId="20" fillId="2" borderId="7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72" fontId="1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10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center"/>
    </xf>
    <xf numFmtId="1" fontId="21" fillId="4" borderId="0" xfId="0" applyNumberFormat="1" applyFont="1" applyFill="1" applyBorder="1" applyAlignment="1">
      <alignment horizontal="center"/>
    </xf>
    <xf numFmtId="172" fontId="12" fillId="4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4" borderId="0" xfId="0" applyFont="1" applyFill="1" applyAlignment="1">
      <alignment/>
    </xf>
    <xf numFmtId="1" fontId="0" fillId="0" borderId="0" xfId="0" applyNumberFormat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17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73" fontId="10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left"/>
    </xf>
    <xf numFmtId="173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172" fontId="14" fillId="4" borderId="0" xfId="0" applyNumberFormat="1" applyFont="1" applyFill="1" applyAlignment="1">
      <alignment/>
    </xf>
    <xf numFmtId="3" fontId="22" fillId="2" borderId="0" xfId="0" applyNumberFormat="1" applyFont="1" applyFill="1" applyAlignment="1">
      <alignment horizontal="right"/>
    </xf>
    <xf numFmtId="172" fontId="1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8" fillId="0" borderId="0" xfId="0" applyFont="1" applyAlignment="1">
      <alignment wrapText="1"/>
    </xf>
    <xf numFmtId="0" fontId="7" fillId="0" borderId="0" xfId="0" applyFont="1" applyBorder="1" applyAlignment="1">
      <alignment/>
    </xf>
    <xf numFmtId="174" fontId="20" fillId="5" borderId="8" xfId="15" applyFont="1" applyFill="1" applyBorder="1" applyAlignment="1" applyProtection="1">
      <alignment/>
      <protection/>
    </xf>
    <xf numFmtId="0" fontId="20" fillId="5" borderId="9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Alignment="1">
      <alignment/>
    </xf>
    <xf numFmtId="0" fontId="20" fillId="5" borderId="8" xfId="0" applyFont="1" applyFill="1" applyBorder="1" applyAlignment="1">
      <alignment/>
    </xf>
    <xf numFmtId="175" fontId="20" fillId="5" borderId="9" xfId="15" applyNumberFormat="1" applyFont="1" applyFill="1" applyBorder="1" applyAlignment="1" applyProtection="1">
      <alignment/>
      <protection/>
    </xf>
    <xf numFmtId="176" fontId="20" fillId="5" borderId="10" xfId="15" applyNumberFormat="1" applyFont="1" applyFill="1" applyBorder="1" applyAlignment="1" applyProtection="1">
      <alignment/>
      <protection/>
    </xf>
    <xf numFmtId="176" fontId="0" fillId="5" borderId="0" xfId="15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174" fontId="0" fillId="0" borderId="18" xfId="15" applyFont="1" applyFill="1" applyBorder="1" applyAlignment="1" applyProtection="1">
      <alignment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3" fillId="0" borderId="16" xfId="0" applyFont="1" applyFill="1" applyBorder="1" applyAlignment="1">
      <alignment/>
    </xf>
    <xf numFmtId="175" fontId="0" fillId="0" borderId="19" xfId="15" applyNumberFormat="1" applyFont="1" applyFill="1" applyBorder="1" applyAlignment="1" applyProtection="1">
      <alignment/>
      <protection/>
    </xf>
    <xf numFmtId="176" fontId="0" fillId="0" borderId="0" xfId="15" applyNumberFormat="1" applyFont="1" applyFill="1" applyBorder="1" applyAlignment="1" applyProtection="1">
      <alignment/>
      <protection/>
    </xf>
    <xf numFmtId="176" fontId="0" fillId="0" borderId="20" xfId="15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/>
    </xf>
    <xf numFmtId="0" fontId="23" fillId="0" borderId="21" xfId="0" applyFont="1" applyFill="1" applyBorder="1" applyAlignment="1">
      <alignment/>
    </xf>
    <xf numFmtId="174" fontId="7" fillId="0" borderId="22" xfId="15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0" fillId="0" borderId="22" xfId="0" applyBorder="1" applyAlignment="1">
      <alignment/>
    </xf>
    <xf numFmtId="175" fontId="0" fillId="0" borderId="24" xfId="15" applyNumberFormat="1" applyFont="1" applyFill="1" applyBorder="1" applyAlignment="1" applyProtection="1">
      <alignment/>
      <protection/>
    </xf>
    <xf numFmtId="176" fontId="0" fillId="0" borderId="23" xfId="15" applyNumberFormat="1" applyFont="1" applyFill="1" applyBorder="1" applyAlignment="1" applyProtection="1">
      <alignment/>
      <protection/>
    </xf>
    <xf numFmtId="176" fontId="0" fillId="0" borderId="25" xfId="15" applyNumberFormat="1" applyFont="1" applyFill="1" applyBorder="1" applyAlignment="1" applyProtection="1">
      <alignment/>
      <protection/>
    </xf>
    <xf numFmtId="175" fontId="0" fillId="0" borderId="18" xfId="0" applyNumberFormat="1" applyBorder="1" applyAlignment="1">
      <alignment/>
    </xf>
    <xf numFmtId="174" fontId="0" fillId="0" borderId="26" xfId="15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6" fontId="0" fillId="0" borderId="29" xfId="15" applyNumberFormat="1" applyFont="1" applyFill="1" applyBorder="1" applyAlignment="1" applyProtection="1">
      <alignment/>
      <protection/>
    </xf>
    <xf numFmtId="176" fontId="23" fillId="0" borderId="16" xfId="15" applyNumberFormat="1" applyFont="1" applyFill="1" applyBorder="1" applyAlignment="1" applyProtection="1">
      <alignment/>
      <protection/>
    </xf>
    <xf numFmtId="174" fontId="7" fillId="0" borderId="18" xfId="15" applyFont="1" applyFill="1" applyBorder="1" applyAlignment="1" applyProtection="1">
      <alignment/>
      <protection/>
    </xf>
    <xf numFmtId="0" fontId="7" fillId="0" borderId="20" xfId="0" applyFon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3" fillId="0" borderId="1" xfId="0" applyFont="1" applyFill="1" applyBorder="1" applyAlignment="1">
      <alignment/>
    </xf>
    <xf numFmtId="0" fontId="0" fillId="0" borderId="26" xfId="0" applyBorder="1" applyAlignment="1">
      <alignment/>
    </xf>
    <xf numFmtId="175" fontId="0" fillId="0" borderId="28" xfId="15" applyNumberFormat="1" applyFont="1" applyFill="1" applyBorder="1" applyAlignment="1" applyProtection="1">
      <alignment/>
      <protection/>
    </xf>
    <xf numFmtId="176" fontId="0" fillId="0" borderId="27" xfId="15" applyNumberFormat="1" applyFont="1" applyFill="1" applyBorder="1" applyAlignment="1" applyProtection="1">
      <alignment/>
      <protection/>
    </xf>
    <xf numFmtId="174" fontId="7" fillId="0" borderId="22" xfId="15" applyFont="1" applyFill="1" applyBorder="1" applyAlignment="1" applyProtection="1">
      <alignment wrapText="1"/>
      <protection/>
    </xf>
    <xf numFmtId="0" fontId="23" fillId="0" borderId="24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75" fontId="23" fillId="0" borderId="24" xfId="15" applyNumberFormat="1" applyFont="1" applyFill="1" applyBorder="1" applyAlignment="1" applyProtection="1">
      <alignment horizontal="center" wrapText="1"/>
      <protection/>
    </xf>
    <xf numFmtId="176" fontId="23" fillId="0" borderId="23" xfId="15" applyNumberFormat="1" applyFont="1" applyFill="1" applyBorder="1" applyAlignment="1" applyProtection="1">
      <alignment horizontal="center" wrapText="1"/>
      <protection/>
    </xf>
    <xf numFmtId="176" fontId="23" fillId="0" borderId="25" xfId="15" applyNumberFormat="1" applyFont="1" applyFill="1" applyBorder="1" applyAlignment="1" applyProtection="1">
      <alignment horizontal="center" wrapText="1"/>
      <protection/>
    </xf>
    <xf numFmtId="175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7" fontId="0" fillId="0" borderId="0" xfId="0" applyNumberFormat="1" applyBorder="1" applyAlignment="1">
      <alignment/>
    </xf>
    <xf numFmtId="178" fontId="23" fillId="0" borderId="16" xfId="15" applyNumberFormat="1" applyFont="1" applyFill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6" fontId="0" fillId="0" borderId="0" xfId="15" applyNumberFormat="1" applyFont="1" applyFill="1" applyBorder="1" applyAlignment="1" applyProtection="1">
      <alignment wrapText="1"/>
      <protection/>
    </xf>
    <xf numFmtId="176" fontId="0" fillId="0" borderId="0" xfId="15" applyNumberFormat="1" applyFont="1" applyFill="1" applyBorder="1" applyAlignment="1" applyProtection="1">
      <alignment horizontal="right" wrapText="1"/>
      <protection/>
    </xf>
    <xf numFmtId="176" fontId="0" fillId="0" borderId="20" xfId="15" applyNumberFormat="1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/>
    </xf>
    <xf numFmtId="176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76" fontId="23" fillId="0" borderId="23" xfId="0" applyNumberFormat="1" applyFont="1" applyBorder="1" applyAlignment="1">
      <alignment horizontal="center" wrapText="1"/>
    </xf>
    <xf numFmtId="0" fontId="23" fillId="0" borderId="25" xfId="0" applyFont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7" fillId="0" borderId="18" xfId="0" applyFont="1" applyBorder="1" applyAlignment="1">
      <alignment/>
    </xf>
    <xf numFmtId="175" fontId="23" fillId="0" borderId="19" xfId="15" applyNumberFormat="1" applyFont="1" applyFill="1" applyBorder="1" applyAlignment="1" applyProtection="1">
      <alignment horizontal="center" wrapText="1"/>
      <protection/>
    </xf>
    <xf numFmtId="176" fontId="23" fillId="0" borderId="0" xfId="15" applyNumberFormat="1" applyFont="1" applyFill="1" applyBorder="1" applyAlignment="1" applyProtection="1">
      <alignment horizontal="center" wrapText="1"/>
      <protection/>
    </xf>
    <xf numFmtId="176" fontId="23" fillId="0" borderId="20" xfId="15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/>
    </xf>
    <xf numFmtId="174" fontId="0" fillId="0" borderId="20" xfId="15" applyFont="1" applyFill="1" applyBorder="1" applyAlignment="1" applyProtection="1">
      <alignment/>
      <protection/>
    </xf>
    <xf numFmtId="174" fontId="23" fillId="0" borderId="16" xfId="15" applyFont="1" applyFill="1" applyBorder="1" applyAlignment="1" applyProtection="1">
      <alignment/>
      <protection/>
    </xf>
    <xf numFmtId="174" fontId="0" fillId="0" borderId="0" xfId="15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15" applyNumberFormat="1" applyFont="1" applyFill="1" applyBorder="1" applyAlignment="1" applyProtection="1">
      <alignment wrapText="1"/>
      <protection/>
    </xf>
    <xf numFmtId="174" fontId="23" fillId="0" borderId="18" xfId="15" applyFont="1" applyFill="1" applyBorder="1" applyAlignment="1" applyProtection="1">
      <alignment/>
      <protection/>
    </xf>
    <xf numFmtId="0" fontId="23" fillId="0" borderId="18" xfId="0" applyFont="1" applyBorder="1" applyAlignment="1">
      <alignment horizontal="center" wrapText="1"/>
    </xf>
    <xf numFmtId="177" fontId="23" fillId="0" borderId="18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176" fontId="23" fillId="0" borderId="20" xfId="15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23" fillId="0" borderId="31" xfId="0" applyFont="1" applyFill="1" applyBorder="1" applyAlignment="1">
      <alignment/>
    </xf>
    <xf numFmtId="178" fontId="0" fillId="0" borderId="0" xfId="15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wrapText="1"/>
    </xf>
    <xf numFmtId="178" fontId="23" fillId="0" borderId="23" xfId="15" applyNumberFormat="1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/>
    </xf>
    <xf numFmtId="178" fontId="0" fillId="0" borderId="20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78" fontId="23" fillId="0" borderId="16" xfId="0" applyNumberFormat="1" applyFont="1" applyFill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20" xfId="15" applyNumberFormat="1" applyFont="1" applyFill="1" applyBorder="1" applyAlignment="1" applyProtection="1">
      <alignment wrapText="1"/>
      <protection/>
    </xf>
    <xf numFmtId="174" fontId="0" fillId="0" borderId="32" xfId="15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74" fontId="0" fillId="0" borderId="35" xfId="15" applyFont="1" applyFill="1" applyBorder="1" applyAlignment="1" applyProtection="1">
      <alignment/>
      <protection/>
    </xf>
    <xf numFmtId="174" fontId="23" fillId="0" borderId="31" xfId="15" applyFont="1" applyFill="1" applyBorder="1" applyAlignment="1" applyProtection="1">
      <alignment/>
      <protection/>
    </xf>
    <xf numFmtId="175" fontId="0" fillId="0" borderId="34" xfId="15" applyNumberFormat="1" applyFont="1" applyFill="1" applyBorder="1" applyAlignment="1" applyProtection="1">
      <alignment/>
      <protection/>
    </xf>
    <xf numFmtId="176" fontId="0" fillId="0" borderId="33" xfId="15" applyNumberFormat="1" applyFont="1" applyFill="1" applyBorder="1" applyAlignment="1" applyProtection="1">
      <alignment/>
      <protection/>
    </xf>
    <xf numFmtId="176" fontId="0" fillId="0" borderId="35" xfId="15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5" fontId="0" fillId="0" borderId="0" xfId="15" applyNumberFormat="1" applyFont="1" applyFill="1" applyBorder="1" applyAlignment="1" applyProtection="1">
      <alignment/>
      <protection/>
    </xf>
    <xf numFmtId="174" fontId="0" fillId="0" borderId="24" xfId="15" applyFont="1" applyFill="1" applyBorder="1" applyAlignment="1" applyProtection="1">
      <alignment horizontal="right"/>
      <protection/>
    </xf>
    <xf numFmtId="0" fontId="23" fillId="0" borderId="23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0" xfId="0" applyFont="1" applyBorder="1" applyAlignment="1">
      <alignment/>
    </xf>
    <xf numFmtId="178" fontId="0" fillId="0" borderId="24" xfId="15" applyNumberFormat="1" applyFont="1" applyFill="1" applyBorder="1" applyAlignment="1" applyProtection="1">
      <alignment/>
      <protection/>
    </xf>
    <xf numFmtId="178" fontId="0" fillId="0" borderId="23" xfId="15" applyNumberFormat="1" applyFont="1" applyFill="1" applyBorder="1" applyAlignment="1" applyProtection="1">
      <alignment wrapText="1"/>
      <protection/>
    </xf>
    <xf numFmtId="175" fontId="0" fillId="0" borderId="36" xfId="15" applyNumberFormat="1" applyFont="1" applyFill="1" applyBorder="1" applyAlignment="1" applyProtection="1">
      <alignment/>
      <protection/>
    </xf>
    <xf numFmtId="174" fontId="0" fillId="0" borderId="19" xfId="15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178" fontId="0" fillId="0" borderId="19" xfId="15" applyNumberFormat="1" applyFont="1" applyFill="1" applyBorder="1" applyAlignment="1" applyProtection="1">
      <alignment/>
      <protection/>
    </xf>
    <xf numFmtId="175" fontId="0" fillId="0" borderId="3" xfId="15" applyNumberFormat="1" applyFont="1" applyFill="1" applyBorder="1" applyAlignment="1" applyProtection="1">
      <alignment/>
      <protection/>
    </xf>
    <xf numFmtId="11" fontId="0" fillId="0" borderId="0" xfId="0" applyNumberFormat="1" applyBorder="1" applyAlignment="1">
      <alignment/>
    </xf>
    <xf numFmtId="11" fontId="0" fillId="0" borderId="3" xfId="0" applyNumberFormat="1" applyBorder="1" applyAlignment="1">
      <alignment/>
    </xf>
    <xf numFmtId="178" fontId="0" fillId="0" borderId="28" xfId="15" applyNumberFormat="1" applyFont="1" applyFill="1" applyBorder="1" applyAlignment="1" applyProtection="1">
      <alignment/>
      <protection/>
    </xf>
    <xf numFmtId="178" fontId="0" fillId="0" borderId="27" xfId="15" applyNumberFormat="1" applyFont="1" applyFill="1" applyBorder="1" applyAlignment="1" applyProtection="1">
      <alignment/>
      <protection/>
    </xf>
    <xf numFmtId="175" fontId="0" fillId="0" borderId="37" xfId="15" applyNumberFormat="1" applyFont="1" applyFill="1" applyBorder="1" applyAlignment="1" applyProtection="1">
      <alignment/>
      <protection/>
    </xf>
    <xf numFmtId="180" fontId="0" fillId="0" borderId="0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174" fontId="0" fillId="0" borderId="28" xfId="15" applyFont="1" applyFill="1" applyBorder="1" applyAlignment="1" applyProtection="1">
      <alignment/>
      <protection/>
    </xf>
    <xf numFmtId="11" fontId="0" fillId="0" borderId="27" xfId="0" applyNumberFormat="1" applyBorder="1" applyAlignment="1">
      <alignment/>
    </xf>
    <xf numFmtId="180" fontId="0" fillId="0" borderId="27" xfId="0" applyNumberFormat="1" applyBorder="1" applyAlignment="1">
      <alignment/>
    </xf>
    <xf numFmtId="0" fontId="0" fillId="0" borderId="37" xfId="0" applyBorder="1" applyAlignment="1">
      <alignment/>
    </xf>
    <xf numFmtId="176" fontId="0" fillId="0" borderId="24" xfId="15" applyNumberFormat="1" applyFont="1" applyFill="1" applyBorder="1" applyAlignment="1" applyProtection="1">
      <alignment/>
      <protection/>
    </xf>
    <xf numFmtId="178" fontId="0" fillId="0" borderId="23" xfId="15" applyNumberFormat="1" applyFont="1" applyFill="1" applyBorder="1" applyAlignment="1" applyProtection="1">
      <alignment/>
      <protection/>
    </xf>
    <xf numFmtId="176" fontId="0" fillId="0" borderId="36" xfId="15" applyNumberFormat="1" applyFont="1" applyFill="1" applyBorder="1" applyAlignment="1" applyProtection="1">
      <alignment/>
      <protection/>
    </xf>
    <xf numFmtId="176" fontId="0" fillId="0" borderId="19" xfId="15" applyNumberFormat="1" applyFont="1" applyFill="1" applyBorder="1" applyAlignment="1" applyProtection="1">
      <alignment/>
      <protection/>
    </xf>
    <xf numFmtId="176" fontId="0" fillId="0" borderId="3" xfId="15" applyNumberFormat="1" applyFont="1" applyFill="1" applyBorder="1" applyAlignment="1" applyProtection="1">
      <alignment/>
      <protection/>
    </xf>
    <xf numFmtId="176" fontId="0" fillId="0" borderId="28" xfId="15" applyNumberFormat="1" applyFont="1" applyFill="1" applyBorder="1" applyAlignment="1" applyProtection="1">
      <alignment/>
      <protection/>
    </xf>
    <xf numFmtId="176" fontId="0" fillId="0" borderId="37" xfId="15" applyNumberFormat="1" applyFont="1" applyFill="1" applyBorder="1" applyAlignment="1" applyProtection="1">
      <alignment/>
      <protection/>
    </xf>
    <xf numFmtId="181" fontId="0" fillId="0" borderId="0" xfId="15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Font="1" applyBorder="1" applyAlignment="1">
      <alignment/>
    </xf>
    <xf numFmtId="181" fontId="0" fillId="0" borderId="23" xfId="15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0" fillId="0" borderId="3" xfId="0" applyFont="1" applyBorder="1" applyAlignment="1">
      <alignment/>
    </xf>
    <xf numFmtId="181" fontId="0" fillId="0" borderId="27" xfId="15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23" fillId="0" borderId="0" xfId="0" applyFont="1" applyAlignment="1">
      <alignment/>
    </xf>
    <xf numFmtId="0" fontId="0" fillId="6" borderId="0" xfId="0" applyFill="1" applyAlignment="1">
      <alignment/>
    </xf>
    <xf numFmtId="0" fontId="24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24" fillId="6" borderId="4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2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7" borderId="0" xfId="0" applyFill="1" applyAlignment="1">
      <alignment/>
    </xf>
    <xf numFmtId="0" fontId="23" fillId="6" borderId="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7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3" fillId="6" borderId="3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7" borderId="27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3" fillId="6" borderId="37" xfId="0" applyFont="1" applyFill="1" applyBorder="1" applyAlignment="1">
      <alignment horizontal="center"/>
    </xf>
    <xf numFmtId="2" fontId="0" fillId="0" borderId="27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24" fillId="6" borderId="39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6" xfId="0" applyFont="1" applyBorder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9" fontId="0" fillId="0" borderId="23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7" xfId="0" applyNumberFormat="1" applyBorder="1" applyAlignment="1">
      <alignment/>
    </xf>
    <xf numFmtId="0" fontId="0" fillId="0" borderId="39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7" xfId="0" applyBorder="1" applyAlignment="1">
      <alignment/>
    </xf>
    <xf numFmtId="0" fontId="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7" fillId="6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172" fontId="10" fillId="2" borderId="0" xfId="0" applyNumberFormat="1" applyFont="1" applyFill="1" applyBorder="1" applyAlignment="1">
      <alignment horizontal="center" wrapText="1"/>
    </xf>
    <xf numFmtId="172" fontId="10" fillId="2" borderId="0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3" fillId="0" borderId="0" xfId="0" applyFont="1" applyBorder="1" applyAlignment="1">
      <alignment/>
    </xf>
    <xf numFmtId="175" fontId="7" fillId="0" borderId="41" xfId="15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3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23" fillId="0" borderId="38" xfId="0" applyFont="1" applyBorder="1" applyAlignment="1">
      <alignment horizontal="left"/>
    </xf>
    <xf numFmtId="0" fontId="23" fillId="0" borderId="4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123825</xdr:rowOff>
    </xdr:from>
    <xdr:to>
      <xdr:col>5</xdr:col>
      <xdr:colOff>323850</xdr:colOff>
      <xdr:row>11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476250"/>
          <a:ext cx="9525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714375</xdr:colOff>
      <xdr:row>142</xdr:row>
      <xdr:rowOff>85725</xdr:rowOff>
    </xdr:from>
    <xdr:to>
      <xdr:col>2</xdr:col>
      <xdr:colOff>238125</xdr:colOff>
      <xdr:row>149</xdr:row>
      <xdr:rowOff>104775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5279350"/>
          <a:ext cx="5143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164</xdr:row>
      <xdr:rowOff>66675</xdr:rowOff>
    </xdr:from>
    <xdr:to>
      <xdr:col>2</xdr:col>
      <xdr:colOff>838200</xdr:colOff>
      <xdr:row>170</xdr:row>
      <xdr:rowOff>133350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8832175"/>
          <a:ext cx="5143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638175</xdr:colOff>
      <xdr:row>239</xdr:row>
      <xdr:rowOff>152400</xdr:rowOff>
    </xdr:from>
    <xdr:to>
      <xdr:col>3</xdr:col>
      <xdr:colOff>209550</xdr:colOff>
      <xdr:row>247</xdr:row>
      <xdr:rowOff>114300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2529125"/>
          <a:ext cx="5619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581025</xdr:colOff>
      <xdr:row>238</xdr:row>
      <xdr:rowOff>161925</xdr:rowOff>
    </xdr:from>
    <xdr:to>
      <xdr:col>6</xdr:col>
      <xdr:colOff>0</xdr:colOff>
      <xdr:row>249</xdr:row>
      <xdr:rowOff>123825</xdr:rowOff>
    </xdr:to>
    <xdr:pic>
      <xdr:nvPicPr>
        <xdr:cNvPr id="5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2376725"/>
          <a:ext cx="195262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lo.org/documents/documents_in_english/IEA-Stats-all-03.html" TargetMode="External" /><Relationship Id="rId2" Type="http://schemas.openxmlformats.org/officeDocument/2006/relationships/hyperlink" Target="http://www.ecolo.org/documents/documents_in_english/IEA-Stats-all-03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2"/>
  <sheetViews>
    <sheetView tabSelected="1" zoomScale="125" zoomScaleNormal="125" workbookViewId="0" topLeftCell="A2">
      <selection activeCell="C14" sqref="C14"/>
    </sheetView>
  </sheetViews>
  <sheetFormatPr defaultColWidth="11.421875" defaultRowHeight="12.75"/>
  <cols>
    <col min="1" max="1" width="118.00390625" style="0" customWidth="1"/>
    <col min="2" max="3" width="14.8515625" style="1" customWidth="1"/>
    <col min="4" max="4" width="15.00390625" style="2" customWidth="1"/>
    <col min="5" max="5" width="11.7109375" style="3" customWidth="1"/>
    <col min="6" max="6" width="11.28125" style="0" customWidth="1"/>
    <col min="7" max="7" width="16.8515625" style="0" customWidth="1"/>
    <col min="8" max="16384" width="8.8515625" style="0" customWidth="1"/>
  </cols>
  <sheetData>
    <row r="1" spans="1:5" ht="27.75">
      <c r="A1" s="4" t="s">
        <v>303</v>
      </c>
      <c r="B1" s="5"/>
      <c r="C1" s="5"/>
      <c r="E1" s="6" t="s">
        <v>304</v>
      </c>
    </row>
    <row r="2" spans="1:6" ht="27.75">
      <c r="A2" s="4" t="s">
        <v>305</v>
      </c>
      <c r="B2" s="5"/>
      <c r="C2" s="5"/>
      <c r="D2"/>
      <c r="E2" s="358"/>
      <c r="F2" s="358"/>
    </row>
    <row r="3" spans="1:6" ht="27.75">
      <c r="A3" s="4" t="s">
        <v>306</v>
      </c>
      <c r="B3" s="5"/>
      <c r="C3" s="5"/>
      <c r="D3"/>
      <c r="E3" s="358"/>
      <c r="F3" s="358"/>
    </row>
    <row r="4" spans="1:6" ht="27.75">
      <c r="A4" s="4" t="s">
        <v>307</v>
      </c>
      <c r="B4" s="5"/>
      <c r="C4" s="5"/>
      <c r="D4"/>
      <c r="E4" s="358"/>
      <c r="F4" s="358"/>
    </row>
    <row r="5" spans="5:6" ht="18.75" customHeight="1">
      <c r="E5" s="358"/>
      <c r="F5" s="358"/>
    </row>
    <row r="6" spans="1:6" ht="12" customHeight="1">
      <c r="A6" s="7" t="s">
        <v>462</v>
      </c>
      <c r="E6" s="358"/>
      <c r="F6" s="358"/>
    </row>
    <row r="7" spans="1:6" ht="12">
      <c r="A7" s="7" t="s">
        <v>308</v>
      </c>
      <c r="E7" s="358"/>
      <c r="F7" s="358"/>
    </row>
    <row r="8" spans="1:6" s="7" customFormat="1" ht="12">
      <c r="A8" s="7" t="s">
        <v>463</v>
      </c>
      <c r="B8" s="8"/>
      <c r="C8" s="8"/>
      <c r="D8" s="9"/>
      <c r="E8" s="358"/>
      <c r="F8" s="358"/>
    </row>
    <row r="9" spans="1:6" s="7" customFormat="1" ht="12">
      <c r="A9" s="7" t="s">
        <v>309</v>
      </c>
      <c r="B9" s="8"/>
      <c r="C9" s="8"/>
      <c r="D9" s="9"/>
      <c r="E9" s="358"/>
      <c r="F9" s="358"/>
    </row>
    <row r="10" spans="1:6" ht="9.75" customHeight="1">
      <c r="A10" s="10"/>
      <c r="E10" s="358"/>
      <c r="F10" s="358"/>
    </row>
    <row r="11" spans="1:6" s="14" customFormat="1" ht="12" customHeight="1">
      <c r="A11" s="11" t="s">
        <v>464</v>
      </c>
      <c r="B11" s="12"/>
      <c r="C11" s="12"/>
      <c r="D11" s="13"/>
      <c r="E11" s="358"/>
      <c r="F11" s="358"/>
    </row>
    <row r="12" spans="1:6" s="14" customFormat="1" ht="12" customHeight="1">
      <c r="A12" s="15"/>
      <c r="B12" s="12"/>
      <c r="C12" s="12"/>
      <c r="D12" s="13"/>
      <c r="E12" s="358"/>
      <c r="F12" s="358"/>
    </row>
    <row r="13" spans="1:5" s="14" customFormat="1" ht="12" customHeight="1">
      <c r="A13" s="11" t="s">
        <v>310</v>
      </c>
      <c r="B13" s="12"/>
      <c r="C13" s="12"/>
      <c r="D13" s="13"/>
      <c r="E13" s="16"/>
    </row>
    <row r="14" spans="1:3" ht="12">
      <c r="A14" t="s">
        <v>311</v>
      </c>
      <c r="B14" s="17"/>
      <c r="C14" s="18" t="s">
        <v>312</v>
      </c>
    </row>
    <row r="15" spans="1:3" ht="12">
      <c r="A15" t="s">
        <v>313</v>
      </c>
      <c r="B15" s="17"/>
      <c r="C15" s="19" t="s">
        <v>314</v>
      </c>
    </row>
    <row r="16" spans="1:3" ht="12">
      <c r="A16" t="s">
        <v>315</v>
      </c>
      <c r="B16" s="17"/>
      <c r="C16" s="19" t="s">
        <v>314</v>
      </c>
    </row>
    <row r="17" spans="1:3" ht="12">
      <c r="A17" s="20" t="s">
        <v>316</v>
      </c>
      <c r="B17" s="21"/>
      <c r="C17" s="19" t="s">
        <v>317</v>
      </c>
    </row>
    <row r="18" spans="1:4" ht="12">
      <c r="A18" s="20"/>
      <c r="B18" s="22"/>
      <c r="C18" s="23"/>
      <c r="D18" s="24"/>
    </row>
    <row r="19" spans="1:7" ht="16.5" customHeight="1">
      <c r="A19" s="359" t="s">
        <v>318</v>
      </c>
      <c r="B19" s="359"/>
      <c r="C19" s="26">
        <f>B16*B17/1000</f>
        <v>0</v>
      </c>
      <c r="D19" s="24" t="s">
        <v>319</v>
      </c>
      <c r="G19" t="s">
        <v>465</v>
      </c>
    </row>
    <row r="20" spans="1:4" ht="12">
      <c r="A20" s="20"/>
      <c r="B20" s="22"/>
      <c r="C20" s="23"/>
      <c r="D20" s="24"/>
    </row>
    <row r="21" spans="1:11" ht="18">
      <c r="A21" s="360" t="s">
        <v>232</v>
      </c>
      <c r="B21" s="360"/>
      <c r="C21" s="360"/>
      <c r="D21" s="360"/>
      <c r="E21" s="360"/>
      <c r="F21" s="27">
        <f>C19*30</f>
        <v>0</v>
      </c>
      <c r="G21" s="361" t="s">
        <v>466</v>
      </c>
      <c r="H21" s="362"/>
      <c r="I21" s="362"/>
      <c r="J21" s="362"/>
      <c r="K21" s="362"/>
    </row>
    <row r="23" spans="1:11" ht="18.75">
      <c r="A23" s="360" t="s">
        <v>233</v>
      </c>
      <c r="B23" s="360"/>
      <c r="C23" s="360"/>
      <c r="D23" s="360"/>
      <c r="E23" s="363">
        <f>C19*3000</f>
        <v>0</v>
      </c>
      <c r="F23" s="363"/>
      <c r="G23" s="361" t="s">
        <v>383</v>
      </c>
      <c r="H23" s="362"/>
      <c r="I23" s="362"/>
      <c r="J23" s="362"/>
      <c r="K23" s="362"/>
    </row>
    <row r="24" spans="1:3" ht="12">
      <c r="A24" s="20"/>
      <c r="B24" s="2"/>
      <c r="C24" s="18"/>
    </row>
    <row r="25" spans="1:3" ht="12">
      <c r="A25" s="29" t="s">
        <v>468</v>
      </c>
      <c r="B25" s="2"/>
      <c r="C25" s="18"/>
    </row>
    <row r="27" spans="1:2" ht="15.75" customHeight="1">
      <c r="A27" s="30" t="s">
        <v>234</v>
      </c>
      <c r="B27" s="31"/>
    </row>
    <row r="28" spans="1:6" ht="13.5" customHeight="1">
      <c r="A28" s="32"/>
      <c r="E28" s="33"/>
      <c r="F28" s="34"/>
    </row>
    <row r="29" spans="1:2" ht="12">
      <c r="A29" s="35" t="s">
        <v>235</v>
      </c>
      <c r="B29" s="36"/>
    </row>
    <row r="30" ht="12">
      <c r="A30" s="37" t="s">
        <v>236</v>
      </c>
    </row>
    <row r="31" spans="1:6" ht="12">
      <c r="A31" t="s">
        <v>237</v>
      </c>
      <c r="B31" s="17"/>
      <c r="C31" s="1">
        <v>2.1</v>
      </c>
      <c r="D31" s="38">
        <f>B31*C31</f>
        <v>0</v>
      </c>
      <c r="E31" s="39" t="s">
        <v>238</v>
      </c>
      <c r="F31" t="s">
        <v>470</v>
      </c>
    </row>
    <row r="32" spans="1:6" ht="12">
      <c r="A32" t="s">
        <v>239</v>
      </c>
      <c r="B32" s="17"/>
      <c r="C32" s="1">
        <v>5.9</v>
      </c>
      <c r="D32" s="38">
        <f>B32*C32</f>
        <v>0</v>
      </c>
      <c r="E32" s="39" t="s">
        <v>238</v>
      </c>
      <c r="F32" t="s">
        <v>471</v>
      </c>
    </row>
    <row r="33" spans="1:6" ht="12">
      <c r="A33" t="s">
        <v>240</v>
      </c>
      <c r="B33" s="17"/>
      <c r="C33" s="1">
        <v>0.19</v>
      </c>
      <c r="D33" s="38">
        <f>B33*C33</f>
        <v>0</v>
      </c>
      <c r="E33" s="39" t="s">
        <v>238</v>
      </c>
      <c r="F33" t="s">
        <v>428</v>
      </c>
    </row>
    <row r="34" spans="1:6" ht="12">
      <c r="A34" t="s">
        <v>241</v>
      </c>
      <c r="B34" s="17"/>
      <c r="C34" s="1">
        <v>0.884</v>
      </c>
      <c r="D34" s="38">
        <f>B34*C34</f>
        <v>0</v>
      </c>
      <c r="E34" s="39" t="s">
        <v>238</v>
      </c>
      <c r="F34" t="s">
        <v>469</v>
      </c>
    </row>
    <row r="35" spans="1:5" ht="12">
      <c r="A35" t="s">
        <v>467</v>
      </c>
      <c r="B35" s="17"/>
      <c r="C35" s="1">
        <v>13.3</v>
      </c>
      <c r="D35" s="38">
        <f>B35*C35</f>
        <v>0</v>
      </c>
      <c r="E35" s="39" t="s">
        <v>238</v>
      </c>
    </row>
    <row r="36" spans="4:5" ht="12">
      <c r="D36" s="40"/>
      <c r="E36" s="16"/>
    </row>
    <row r="37" spans="1:5" ht="12">
      <c r="A37" s="35" t="s">
        <v>242</v>
      </c>
      <c r="D37" s="40"/>
      <c r="E37" s="16"/>
    </row>
    <row r="38" spans="1:5" ht="12">
      <c r="A38" s="37" t="s">
        <v>243</v>
      </c>
      <c r="D38" s="40"/>
      <c r="E38" s="16"/>
    </row>
    <row r="39" spans="1:5" ht="12">
      <c r="A39" t="s">
        <v>244</v>
      </c>
      <c r="B39" s="17"/>
      <c r="C39" s="1">
        <v>2.7</v>
      </c>
      <c r="D39" s="38">
        <f>B39*C39</f>
        <v>0</v>
      </c>
      <c r="E39" s="39" t="s">
        <v>238</v>
      </c>
    </row>
    <row r="40" spans="1:5" ht="12" hidden="1">
      <c r="A40" t="s">
        <v>245</v>
      </c>
      <c r="B40" s="17"/>
      <c r="C40" s="1">
        <v>2.5</v>
      </c>
      <c r="D40" s="38">
        <f>B40*C40</f>
        <v>0</v>
      </c>
      <c r="E40" s="16"/>
    </row>
    <row r="41" spans="1:5" s="35" customFormat="1" ht="12" hidden="1">
      <c r="A41"/>
      <c r="B41" s="1"/>
      <c r="C41" s="1"/>
      <c r="D41" s="40"/>
      <c r="E41" s="16"/>
    </row>
    <row r="42" spans="1:5" ht="12" hidden="1">
      <c r="A42" s="35" t="s">
        <v>246</v>
      </c>
      <c r="B42" s="41"/>
      <c r="C42" s="41"/>
      <c r="D42" s="40"/>
      <c r="E42" s="16"/>
    </row>
    <row r="43" spans="1:6" ht="12">
      <c r="A43" s="14" t="s">
        <v>247</v>
      </c>
      <c r="B43" s="42"/>
      <c r="C43" s="43">
        <v>2.84</v>
      </c>
      <c r="D43" s="38">
        <f>B43*C43</f>
        <v>0</v>
      </c>
      <c r="E43" s="16" t="s">
        <v>238</v>
      </c>
      <c r="F43" t="s">
        <v>472</v>
      </c>
    </row>
    <row r="44" spans="1:6" ht="12">
      <c r="A44" s="44" t="s">
        <v>248</v>
      </c>
      <c r="B44" s="42"/>
      <c r="C44" s="43">
        <v>2.5</v>
      </c>
      <c r="D44" s="38">
        <f>B44*C44+C44</f>
        <v>2.5</v>
      </c>
      <c r="E44" s="16" t="s">
        <v>238</v>
      </c>
      <c r="F44" t="s">
        <v>428</v>
      </c>
    </row>
    <row r="45" spans="1:5" ht="12">
      <c r="A45" s="44" t="s">
        <v>249</v>
      </c>
      <c r="B45" s="17"/>
      <c r="C45" s="1">
        <v>1</v>
      </c>
      <c r="D45" s="38">
        <f>B45*C45</f>
        <v>0</v>
      </c>
      <c r="E45" s="39" t="s">
        <v>238</v>
      </c>
    </row>
    <row r="46" spans="1:5" ht="12">
      <c r="A46" s="37" t="s">
        <v>250</v>
      </c>
      <c r="D46" s="45"/>
      <c r="E46" s="39"/>
    </row>
    <row r="47" spans="4:5" ht="12">
      <c r="D47" s="40"/>
      <c r="E47" s="16"/>
    </row>
    <row r="48" spans="1:5" ht="12">
      <c r="A48" s="35" t="s">
        <v>251</v>
      </c>
      <c r="D48" s="40"/>
      <c r="E48" s="16"/>
    </row>
    <row r="49" spans="1:5" ht="12">
      <c r="A49" s="37" t="s">
        <v>252</v>
      </c>
      <c r="D49" s="40"/>
      <c r="E49" s="16"/>
    </row>
    <row r="50" spans="1:6" ht="12">
      <c r="A50" t="s">
        <v>253</v>
      </c>
      <c r="B50" s="17"/>
      <c r="C50" s="1">
        <v>3.2</v>
      </c>
      <c r="D50" s="38">
        <f>B50*C50</f>
        <v>0</v>
      </c>
      <c r="E50" s="39" t="s">
        <v>238</v>
      </c>
      <c r="F50" t="s">
        <v>428</v>
      </c>
    </row>
    <row r="51" spans="1:7" ht="12">
      <c r="A51" t="s">
        <v>254</v>
      </c>
      <c r="B51" s="17"/>
      <c r="C51" s="1">
        <v>12.1</v>
      </c>
      <c r="D51" s="38">
        <f>B51*C51</f>
        <v>0</v>
      </c>
      <c r="E51" s="39" t="s">
        <v>238</v>
      </c>
      <c r="G51" t="s">
        <v>426</v>
      </c>
    </row>
    <row r="52" spans="1:7" ht="12">
      <c r="A52" t="s">
        <v>255</v>
      </c>
      <c r="B52" s="17"/>
      <c r="C52" s="1">
        <v>14.6</v>
      </c>
      <c r="D52" s="38">
        <f>B52*C52</f>
        <v>0</v>
      </c>
      <c r="E52" s="39" t="s">
        <v>238</v>
      </c>
      <c r="G52" t="s">
        <v>427</v>
      </c>
    </row>
    <row r="53" spans="2:7" ht="12">
      <c r="B53" s="22"/>
      <c r="C53" s="22"/>
      <c r="D53" s="45"/>
      <c r="E53" s="16"/>
      <c r="G53" t="s">
        <v>473</v>
      </c>
    </row>
    <row r="54" spans="1:5" ht="12">
      <c r="A54" s="35" t="s">
        <v>256</v>
      </c>
      <c r="D54" s="40"/>
      <c r="E54" s="16"/>
    </row>
    <row r="55" spans="4:5" ht="19.5" customHeight="1">
      <c r="D55" s="40"/>
      <c r="E55" s="16"/>
    </row>
    <row r="56" spans="1:5" ht="18">
      <c r="A56" s="30" t="s">
        <v>257</v>
      </c>
      <c r="D56" s="40"/>
      <c r="E56" s="16"/>
    </row>
    <row r="57" spans="1:5" ht="10.5" customHeight="1">
      <c r="A57" s="32"/>
      <c r="D57" s="40"/>
      <c r="E57" s="16"/>
    </row>
    <row r="58" spans="1:5" ht="12">
      <c r="A58" s="37" t="s">
        <v>258</v>
      </c>
      <c r="D58" s="40"/>
      <c r="E58" s="16"/>
    </row>
    <row r="59" spans="4:5" ht="12">
      <c r="D59" s="40"/>
      <c r="E59" s="16"/>
    </row>
    <row r="60" spans="1:6" ht="12">
      <c r="A60" t="s">
        <v>424</v>
      </c>
      <c r="B60" s="17"/>
      <c r="C60" s="1">
        <f>B17/1000</f>
        <v>0</v>
      </c>
      <c r="D60" s="38">
        <f>B60*C60</f>
        <v>0</v>
      </c>
      <c r="E60" s="39" t="s">
        <v>238</v>
      </c>
      <c r="F60" s="3" t="s">
        <v>425</v>
      </c>
    </row>
    <row r="61" spans="1:6" ht="12" customHeight="1">
      <c r="A61" t="s">
        <v>259</v>
      </c>
      <c r="B61" s="17"/>
      <c r="C61" s="1">
        <v>0.015</v>
      </c>
      <c r="D61" s="38">
        <f>B61*C61</f>
        <v>0</v>
      </c>
      <c r="E61" s="39" t="s">
        <v>238</v>
      </c>
      <c r="F61" s="3" t="s">
        <v>479</v>
      </c>
    </row>
    <row r="62" spans="1:5" ht="12" customHeight="1">
      <c r="A62" s="37" t="s">
        <v>260</v>
      </c>
      <c r="D62" s="40"/>
      <c r="E62" s="16"/>
    </row>
    <row r="63" spans="1:5" ht="18.75" customHeight="1">
      <c r="A63" s="32"/>
      <c r="D63" s="40"/>
      <c r="E63" s="16"/>
    </row>
    <row r="64" spans="1:5" ht="18">
      <c r="A64" s="30" t="s">
        <v>261</v>
      </c>
      <c r="D64" s="40"/>
      <c r="E64" s="16"/>
    </row>
    <row r="65" spans="1:5" ht="12" customHeight="1">
      <c r="A65" s="32"/>
      <c r="D65" s="40"/>
      <c r="E65" s="16"/>
    </row>
    <row r="66" spans="1:5" ht="12">
      <c r="A66" s="37" t="s">
        <v>262</v>
      </c>
      <c r="D66" s="40"/>
      <c r="E66" s="16"/>
    </row>
    <row r="67" spans="1:5" ht="12">
      <c r="A67" t="s">
        <v>263</v>
      </c>
      <c r="B67" s="17"/>
      <c r="C67" s="1">
        <v>2.3</v>
      </c>
      <c r="D67" s="38">
        <f>B67*C67</f>
        <v>0</v>
      </c>
      <c r="E67" s="39" t="s">
        <v>238</v>
      </c>
    </row>
    <row r="68" spans="1:6" ht="12">
      <c r="A68" t="s">
        <v>264</v>
      </c>
      <c r="B68" s="17"/>
      <c r="C68" s="1">
        <v>8.7</v>
      </c>
      <c r="D68" s="38">
        <f>C68*B68</f>
        <v>0</v>
      </c>
      <c r="E68" s="39" t="s">
        <v>238</v>
      </c>
      <c r="F68" t="s">
        <v>426</v>
      </c>
    </row>
    <row r="69" spans="1:6" ht="12">
      <c r="A69" t="s">
        <v>265</v>
      </c>
      <c r="B69" s="17"/>
      <c r="C69" s="1">
        <v>10.5</v>
      </c>
      <c r="D69" s="38">
        <f>C69*B69</f>
        <v>0</v>
      </c>
      <c r="E69" s="39" t="s">
        <v>238</v>
      </c>
      <c r="F69" t="s">
        <v>427</v>
      </c>
    </row>
    <row r="70" spans="1:5" ht="12">
      <c r="A70" t="s">
        <v>266</v>
      </c>
      <c r="B70" s="17"/>
      <c r="C70" s="1">
        <v>2.6</v>
      </c>
      <c r="D70" s="38">
        <f>B70*C70</f>
        <v>0</v>
      </c>
      <c r="E70" s="39" t="s">
        <v>238</v>
      </c>
    </row>
    <row r="71" spans="1:6" ht="12">
      <c r="A71" t="s">
        <v>206</v>
      </c>
      <c r="B71" s="17"/>
      <c r="C71" s="1">
        <v>9.9</v>
      </c>
      <c r="D71" s="38">
        <f>B71*C71</f>
        <v>0</v>
      </c>
      <c r="E71" s="39" t="s">
        <v>238</v>
      </c>
      <c r="F71" t="s">
        <v>426</v>
      </c>
    </row>
    <row r="72" spans="1:6" ht="12">
      <c r="A72" t="s">
        <v>207</v>
      </c>
      <c r="B72" s="17"/>
      <c r="C72" s="1">
        <v>11.83</v>
      </c>
      <c r="D72" s="38">
        <f>C72*B72</f>
        <v>0</v>
      </c>
      <c r="E72" s="39" t="s">
        <v>238</v>
      </c>
      <c r="F72" t="s">
        <v>427</v>
      </c>
    </row>
    <row r="73" spans="4:5" ht="12">
      <c r="D73" s="40"/>
      <c r="E73" s="16"/>
    </row>
    <row r="74" spans="1:5" s="14" customFormat="1" ht="12">
      <c r="A74" s="35" t="s">
        <v>208</v>
      </c>
      <c r="B74" s="1"/>
      <c r="C74" s="1"/>
      <c r="D74" s="40"/>
      <c r="E74" s="16"/>
    </row>
    <row r="75" spans="1:5" s="14" customFormat="1" ht="12">
      <c r="A75" s="37" t="s">
        <v>209</v>
      </c>
      <c r="B75" s="43"/>
      <c r="C75" s="43"/>
      <c r="D75" s="40"/>
      <c r="E75" s="16"/>
    </row>
    <row r="76" spans="2:5" s="14" customFormat="1" ht="12">
      <c r="B76" s="43"/>
      <c r="C76" s="43"/>
      <c r="D76" s="40"/>
      <c r="E76" s="16"/>
    </row>
    <row r="77" spans="1:5" ht="12">
      <c r="A77" s="35" t="s">
        <v>399</v>
      </c>
      <c r="B77" s="43"/>
      <c r="C77" s="43"/>
      <c r="D77" s="40"/>
      <c r="E77" s="16"/>
    </row>
    <row r="78" spans="1:5" ht="12">
      <c r="A78" t="s">
        <v>210</v>
      </c>
      <c r="B78" s="17"/>
      <c r="C78" s="1">
        <v>0.16</v>
      </c>
      <c r="D78" s="38">
        <f>B78*C78</f>
        <v>0</v>
      </c>
      <c r="E78" s="39" t="s">
        <v>238</v>
      </c>
    </row>
    <row r="79" spans="1:5" ht="12">
      <c r="A79" t="s">
        <v>211</v>
      </c>
      <c r="B79" s="17"/>
      <c r="C79" s="1">
        <v>0.26</v>
      </c>
      <c r="D79" s="38">
        <f>B79*C79</f>
        <v>0</v>
      </c>
      <c r="E79" s="39" t="s">
        <v>238</v>
      </c>
    </row>
    <row r="80" spans="4:5" ht="12">
      <c r="D80" s="40"/>
      <c r="E80" s="16"/>
    </row>
    <row r="81" spans="1:5" ht="12">
      <c r="A81" s="35" t="s">
        <v>397</v>
      </c>
      <c r="D81" s="40"/>
      <c r="E81" s="16"/>
    </row>
    <row r="82" spans="1:5" ht="12">
      <c r="A82" t="s">
        <v>210</v>
      </c>
      <c r="B82" s="17"/>
      <c r="C82" s="1">
        <v>0.19</v>
      </c>
      <c r="D82" s="38">
        <f>B82*C82</f>
        <v>0</v>
      </c>
      <c r="E82" s="39" t="s">
        <v>238</v>
      </c>
    </row>
    <row r="83" spans="1:5" ht="12">
      <c r="A83" t="s">
        <v>211</v>
      </c>
      <c r="B83" s="17"/>
      <c r="C83" s="1">
        <v>0.3</v>
      </c>
      <c r="D83" s="38">
        <f>B83*C83</f>
        <v>0</v>
      </c>
      <c r="E83" s="39" t="s">
        <v>238</v>
      </c>
    </row>
    <row r="84" spans="4:5" ht="12">
      <c r="D84" s="40"/>
      <c r="E84" s="16"/>
    </row>
    <row r="85" spans="1:5" ht="12">
      <c r="A85" s="35" t="s">
        <v>398</v>
      </c>
      <c r="D85" s="40"/>
      <c r="E85" s="16"/>
    </row>
    <row r="86" spans="1:5" ht="12">
      <c r="A86" t="s">
        <v>210</v>
      </c>
      <c r="B86" s="17"/>
      <c r="C86" s="1">
        <v>0.22</v>
      </c>
      <c r="D86" s="38">
        <f>B86*C86</f>
        <v>0</v>
      </c>
      <c r="E86" s="39" t="s">
        <v>238</v>
      </c>
    </row>
    <row r="87" spans="1:5" ht="12">
      <c r="A87" t="s">
        <v>211</v>
      </c>
      <c r="B87" s="17"/>
      <c r="C87" s="1">
        <v>0.35</v>
      </c>
      <c r="D87" s="38">
        <f>B87*C87</f>
        <v>0</v>
      </c>
      <c r="E87" s="39" t="s">
        <v>238</v>
      </c>
    </row>
    <row r="88" spans="1:5" s="14" customFormat="1" ht="12">
      <c r="A88"/>
      <c r="B88" s="1"/>
      <c r="C88" s="1"/>
      <c r="D88" s="40"/>
      <c r="E88" s="16"/>
    </row>
    <row r="89" spans="1:5" ht="12">
      <c r="A89" s="35" t="s">
        <v>400</v>
      </c>
      <c r="B89" s="43"/>
      <c r="C89" s="43"/>
      <c r="D89" s="40"/>
      <c r="E89" s="16"/>
    </row>
    <row r="90" spans="1:5" ht="12">
      <c r="A90" t="s">
        <v>210</v>
      </c>
      <c r="B90" s="17"/>
      <c r="C90" s="1">
        <v>0.16</v>
      </c>
      <c r="D90" s="38">
        <f>B90*C90</f>
        <v>0</v>
      </c>
      <c r="E90" s="39" t="s">
        <v>238</v>
      </c>
    </row>
    <row r="91" spans="1:5" ht="12">
      <c r="A91" t="s">
        <v>211</v>
      </c>
      <c r="B91" s="17"/>
      <c r="C91" s="1">
        <v>0.26</v>
      </c>
      <c r="D91" s="38">
        <f>B91*C91</f>
        <v>0</v>
      </c>
      <c r="E91" s="39" t="s">
        <v>238</v>
      </c>
    </row>
    <row r="92" spans="4:5" ht="12">
      <c r="D92" s="40"/>
      <c r="E92" s="16"/>
    </row>
    <row r="93" spans="1:5" ht="12">
      <c r="A93" s="35" t="s">
        <v>401</v>
      </c>
      <c r="D93" s="40"/>
      <c r="E93" s="16"/>
    </row>
    <row r="94" spans="1:5" ht="12">
      <c r="A94" t="s">
        <v>210</v>
      </c>
      <c r="B94" s="17"/>
      <c r="C94" s="1">
        <v>0.19</v>
      </c>
      <c r="D94" s="38">
        <f>B94*C94</f>
        <v>0</v>
      </c>
      <c r="E94" s="39" t="s">
        <v>238</v>
      </c>
    </row>
    <row r="95" spans="1:5" ht="12">
      <c r="A95" t="s">
        <v>211</v>
      </c>
      <c r="B95" s="17"/>
      <c r="C95" s="1">
        <v>0.31</v>
      </c>
      <c r="D95" s="38">
        <f>B95*C95</f>
        <v>0</v>
      </c>
      <c r="E95" s="39" t="s">
        <v>238</v>
      </c>
    </row>
    <row r="96" spans="1:5" s="14" customFormat="1" ht="12">
      <c r="A96"/>
      <c r="B96" s="1"/>
      <c r="C96" s="1"/>
      <c r="D96" s="40"/>
      <c r="E96" s="16"/>
    </row>
    <row r="97" spans="1:5" ht="12">
      <c r="A97" s="35" t="s">
        <v>212</v>
      </c>
      <c r="B97" s="43"/>
      <c r="C97" s="43"/>
      <c r="D97" s="40"/>
      <c r="E97" s="16"/>
    </row>
    <row r="98" spans="1:5" ht="12">
      <c r="A98" t="s">
        <v>210</v>
      </c>
      <c r="B98" s="17"/>
      <c r="C98" s="1">
        <v>0.17</v>
      </c>
      <c r="D98" s="38">
        <f>B98*C98</f>
        <v>0</v>
      </c>
      <c r="E98" s="39" t="s">
        <v>238</v>
      </c>
    </row>
    <row r="99" spans="1:5" ht="12">
      <c r="A99" t="s">
        <v>211</v>
      </c>
      <c r="B99" s="17"/>
      <c r="C99" s="1">
        <v>0.28</v>
      </c>
      <c r="D99" s="38">
        <f>B99*C99</f>
        <v>0</v>
      </c>
      <c r="E99" s="39" t="s">
        <v>238</v>
      </c>
    </row>
    <row r="100" spans="4:5" ht="12">
      <c r="D100" s="40"/>
      <c r="E100" s="16"/>
    </row>
    <row r="101" spans="1:5" ht="18">
      <c r="A101" s="30" t="s">
        <v>213</v>
      </c>
      <c r="D101" s="40"/>
      <c r="E101" s="16"/>
    </row>
    <row r="102" spans="1:5" ht="12">
      <c r="A102" t="s">
        <v>214</v>
      </c>
      <c r="B102" s="17"/>
      <c r="C102" s="1">
        <v>0.05</v>
      </c>
      <c r="D102" s="38">
        <f>B102*C102</f>
        <v>0</v>
      </c>
      <c r="E102" s="39" t="s">
        <v>238</v>
      </c>
    </row>
    <row r="103" spans="1:5" ht="12" hidden="1">
      <c r="A103" t="s">
        <v>215</v>
      </c>
      <c r="B103" s="17"/>
      <c r="C103" s="1">
        <v>0.11</v>
      </c>
      <c r="D103" s="38">
        <f>B103*C103</f>
        <v>0</v>
      </c>
      <c r="E103" s="16"/>
    </row>
    <row r="104" spans="4:5" ht="12" hidden="1">
      <c r="D104" s="40"/>
      <c r="E104" s="16"/>
    </row>
    <row r="105" spans="4:5" ht="12" hidden="1">
      <c r="D105" s="40"/>
      <c r="E105" s="16"/>
    </row>
    <row r="106" spans="1:5" ht="18" hidden="1">
      <c r="A106" s="32" t="s">
        <v>216</v>
      </c>
      <c r="B106" s="46"/>
      <c r="C106" s="1">
        <v>0.75</v>
      </c>
      <c r="D106" s="47"/>
      <c r="E106" s="16"/>
    </row>
    <row r="107" spans="1:6" ht="12" hidden="1">
      <c r="A107" t="s">
        <v>217</v>
      </c>
      <c r="B107" s="46"/>
      <c r="C107" s="1" t="s">
        <v>218</v>
      </c>
      <c r="D107" s="47"/>
      <c r="E107" s="16"/>
      <c r="F107" s="23"/>
    </row>
    <row r="108" spans="1:6" ht="12">
      <c r="A108" t="s">
        <v>219</v>
      </c>
      <c r="B108" s="17"/>
      <c r="C108" s="1">
        <f>(0.05*B17)/800</f>
        <v>0</v>
      </c>
      <c r="D108" s="38">
        <f>B108*C108</f>
        <v>0</v>
      </c>
      <c r="E108" s="39" t="s">
        <v>238</v>
      </c>
      <c r="F108" s="23"/>
    </row>
    <row r="109" spans="1:5" ht="12">
      <c r="A109" s="37" t="s">
        <v>220</v>
      </c>
      <c r="D109" s="40"/>
      <c r="E109" s="16"/>
    </row>
    <row r="110" spans="4:5" ht="12">
      <c r="D110" s="40"/>
      <c r="E110" s="16"/>
    </row>
    <row r="111" spans="1:5" ht="18">
      <c r="A111" s="30" t="s">
        <v>221</v>
      </c>
      <c r="D111" s="40"/>
      <c r="E111" s="16"/>
    </row>
    <row r="112" spans="1:5" ht="51" customHeight="1">
      <c r="A112" s="364" t="s">
        <v>222</v>
      </c>
      <c r="B112" s="364"/>
      <c r="C112" s="364"/>
      <c r="D112" s="364"/>
      <c r="E112" s="364"/>
    </row>
    <row r="113" spans="1:5" ht="10.5" customHeight="1">
      <c r="A113" s="48"/>
      <c r="B113" s="49"/>
      <c r="C113" s="49"/>
      <c r="D113" s="49"/>
      <c r="E113" s="49"/>
    </row>
    <row r="114" spans="1:11" ht="25.5" customHeight="1">
      <c r="A114" s="50" t="s">
        <v>223</v>
      </c>
      <c r="B114" s="17">
        <v>1</v>
      </c>
      <c r="D114" s="1"/>
      <c r="F114" s="361" t="s">
        <v>388</v>
      </c>
      <c r="G114" s="362"/>
      <c r="H114" s="362"/>
      <c r="I114" s="362"/>
      <c r="J114" s="362"/>
      <c r="K114" s="362"/>
    </row>
    <row r="115" spans="1:6" ht="11.25" customHeight="1">
      <c r="A115" s="48"/>
      <c r="B115" s="49"/>
      <c r="C115" s="49"/>
      <c r="D115" s="49"/>
      <c r="E115" s="49"/>
      <c r="F115" t="s">
        <v>384</v>
      </c>
    </row>
    <row r="116" spans="1:6" ht="14.25" customHeight="1">
      <c r="A116" t="s">
        <v>224</v>
      </c>
      <c r="B116" s="21">
        <v>-527.01</v>
      </c>
      <c r="C116" s="1">
        <f>(1+(B114*1.7))*(44/12)*(156/184)*(7840+10.1*(B116-250))/(370*0.75*B116)</f>
        <v>0.0004477240301475661</v>
      </c>
      <c r="D116" s="38">
        <f aca="true" t="shared" si="0" ref="D116:D124">B116*C116</f>
        <v>-0.2359550411280688</v>
      </c>
      <c r="E116" s="39" t="s">
        <v>238</v>
      </c>
      <c r="F116" s="51" t="s">
        <v>385</v>
      </c>
    </row>
    <row r="117" spans="1:7" ht="12.75" customHeight="1">
      <c r="A117" t="s">
        <v>225</v>
      </c>
      <c r="B117" s="21">
        <v>-527.01</v>
      </c>
      <c r="C117" s="1">
        <f>(1+(B114*1.7))*(44/12)*(156/184)*(7840+10.1*(B117-250))/(370*0.75*B117)</f>
        <v>0.0004477240301475661</v>
      </c>
      <c r="D117" s="52">
        <f t="shared" si="0"/>
        <v>-0.2359550411280688</v>
      </c>
      <c r="E117" s="39" t="s">
        <v>238</v>
      </c>
      <c r="F117" s="361" t="s">
        <v>386</v>
      </c>
      <c r="G117" s="362"/>
    </row>
    <row r="118" spans="1:11" ht="12">
      <c r="A118" s="14" t="s">
        <v>226</v>
      </c>
      <c r="B118" s="21">
        <v>-527.01</v>
      </c>
      <c r="C118" s="1">
        <f>(1+(B114*1.7))*(44/12)*(156/184)*(7840+10.1*(B118-250))/(370*0.75*B118)</f>
        <v>0.0004477240301475661</v>
      </c>
      <c r="D118" s="52">
        <f t="shared" si="0"/>
        <v>-0.2359550411280688</v>
      </c>
      <c r="E118" s="39" t="s">
        <v>238</v>
      </c>
      <c r="F118" s="365" t="s">
        <v>387</v>
      </c>
      <c r="G118" s="366"/>
      <c r="H118" s="366"/>
      <c r="I118" s="366"/>
      <c r="J118" s="366"/>
      <c r="K118" s="366"/>
    </row>
    <row r="119" spans="1:11" ht="12">
      <c r="A119" s="14" t="s">
        <v>227</v>
      </c>
      <c r="B119" s="21">
        <v>-527.01</v>
      </c>
      <c r="C119" s="1">
        <f>(1+(B114*1.7))*(44/12)*(156/184)*(7840+10.1*(B119-250))/(370*0.75*B119/1.25)</f>
        <v>0.0005596550376844576</v>
      </c>
      <c r="D119" s="52">
        <f t="shared" si="0"/>
        <v>-0.29494380141008597</v>
      </c>
      <c r="E119" s="39" t="s">
        <v>238</v>
      </c>
      <c r="F119" s="365" t="s">
        <v>389</v>
      </c>
      <c r="G119" s="366"/>
      <c r="H119" s="366"/>
      <c r="I119" s="366"/>
      <c r="J119" s="366"/>
      <c r="K119" s="366"/>
    </row>
    <row r="120" spans="1:11" ht="12">
      <c r="A120" s="14" t="s">
        <v>228</v>
      </c>
      <c r="B120" s="21">
        <v>-527.01</v>
      </c>
      <c r="C120" s="1">
        <f>(1+(B114*1.7))*(44/12)*(156/184)*(7840+10.1*(B120-250))/(370*0.75*B120)</f>
        <v>0.0004477240301475661</v>
      </c>
      <c r="D120" s="52">
        <f t="shared" si="0"/>
        <v>-0.2359550411280688</v>
      </c>
      <c r="E120" s="39" t="s">
        <v>238</v>
      </c>
      <c r="F120" s="365" t="s">
        <v>390</v>
      </c>
      <c r="G120" s="366"/>
      <c r="H120" s="366"/>
      <c r="I120" s="366"/>
      <c r="J120" s="366"/>
      <c r="K120" s="366"/>
    </row>
    <row r="121" spans="1:11" ht="12">
      <c r="A121" s="14" t="s">
        <v>229</v>
      </c>
      <c r="B121" s="21">
        <v>-527.01</v>
      </c>
      <c r="C121" s="1">
        <f>(1+(B114*1.7))*(44/12)*(156/184)*(7840+10.1*(B121-250))/(370*0.75*B121/1.25)</f>
        <v>0.0005596550376844576</v>
      </c>
      <c r="D121" s="52">
        <f t="shared" si="0"/>
        <v>-0.29494380141008597</v>
      </c>
      <c r="E121" s="39" t="s">
        <v>238</v>
      </c>
      <c r="F121" s="365" t="s">
        <v>391</v>
      </c>
      <c r="G121" s="366"/>
      <c r="H121" s="366"/>
      <c r="I121" s="366"/>
      <c r="J121" s="366"/>
      <c r="K121" s="366"/>
    </row>
    <row r="122" spans="1:11" ht="12">
      <c r="A122" s="14" t="s">
        <v>230</v>
      </c>
      <c r="B122" s="21">
        <v>-527.01</v>
      </c>
      <c r="C122" s="1">
        <f>(1+(B114*1.7))*(44/12)*(156/184)*(7840+10.1*(B122-250))/(370*0.75*B122)</f>
        <v>0.0004477240301475661</v>
      </c>
      <c r="D122" s="52">
        <f t="shared" si="0"/>
        <v>-0.2359550411280688</v>
      </c>
      <c r="E122" s="39" t="s">
        <v>238</v>
      </c>
      <c r="F122" s="365" t="s">
        <v>392</v>
      </c>
      <c r="G122" s="366"/>
      <c r="H122" s="366"/>
      <c r="I122" s="366"/>
      <c r="J122" s="366"/>
      <c r="K122" s="366"/>
    </row>
    <row r="123" spans="1:6" ht="12">
      <c r="A123" s="14" t="s">
        <v>231</v>
      </c>
      <c r="B123" s="21">
        <v>-527.01</v>
      </c>
      <c r="C123" s="1">
        <f>(1+(B114*1.7))*(44/12)*(156/184)*(7840+10.1*(B123-250))/(370*0.75*B123)</f>
        <v>0.0004477240301475661</v>
      </c>
      <c r="D123" s="38">
        <f t="shared" si="0"/>
        <v>-0.2359550411280688</v>
      </c>
      <c r="E123" s="39" t="s">
        <v>238</v>
      </c>
      <c r="F123" t="s">
        <v>393</v>
      </c>
    </row>
    <row r="124" spans="1:6" ht="39" customHeight="1">
      <c r="A124" s="48" t="s">
        <v>190</v>
      </c>
      <c r="B124" s="21">
        <v>0</v>
      </c>
      <c r="C124" s="53">
        <f>1+1.7*B114</f>
        <v>2.7</v>
      </c>
      <c r="D124" s="2">
        <f t="shared" si="0"/>
        <v>0</v>
      </c>
      <c r="E124" s="39" t="s">
        <v>238</v>
      </c>
      <c r="F124" t="s">
        <v>394</v>
      </c>
    </row>
    <row r="125" spans="1:5" ht="21" customHeight="1">
      <c r="A125" s="50"/>
      <c r="D125" s="22"/>
      <c r="E125" s="16"/>
    </row>
    <row r="126" spans="1:5" ht="21" customHeight="1">
      <c r="A126" s="54" t="s">
        <v>191</v>
      </c>
      <c r="D126" s="17"/>
      <c r="E126" s="39" t="s">
        <v>238</v>
      </c>
    </row>
    <row r="127" spans="1:5" ht="39" customHeight="1">
      <c r="A127" s="364" t="s">
        <v>192</v>
      </c>
      <c r="B127" s="364"/>
      <c r="C127" s="364"/>
      <c r="D127" s="364"/>
      <c r="E127" s="364"/>
    </row>
    <row r="128" ht="12.75" customHeight="1">
      <c r="A128" s="48"/>
    </row>
    <row r="129" spans="1:6" ht="36">
      <c r="A129" s="55" t="s">
        <v>193</v>
      </c>
      <c r="B129" s="56"/>
      <c r="C129" s="56"/>
      <c r="D129" s="57">
        <f>SUM(D31:D126)</f>
        <v>0.49438215041141526</v>
      </c>
      <c r="E129" s="58" t="s">
        <v>238</v>
      </c>
      <c r="F129" s="59"/>
    </row>
    <row r="130" ht="18">
      <c r="D130" s="60"/>
    </row>
    <row r="131" spans="1:7" ht="18">
      <c r="A131" s="367" t="s">
        <v>194</v>
      </c>
      <c r="B131" s="367"/>
      <c r="C131" s="367"/>
      <c r="D131" s="367"/>
      <c r="E131" s="367"/>
      <c r="F131" s="62">
        <f>D129/30</f>
        <v>0.01647940501371384</v>
      </c>
      <c r="G131" t="s">
        <v>466</v>
      </c>
    </row>
    <row r="132" ht="10.5" customHeight="1">
      <c r="D132" s="60"/>
    </row>
    <row r="133" spans="1:4" ht="18">
      <c r="A133" t="s">
        <v>195</v>
      </c>
      <c r="C133" s="17">
        <v>1</v>
      </c>
      <c r="D133" s="60"/>
    </row>
    <row r="134" spans="1:4" ht="18">
      <c r="A134" s="37" t="s">
        <v>196</v>
      </c>
      <c r="C134" s="22"/>
      <c r="D134" s="60"/>
    </row>
    <row r="135" spans="1:4" ht="12.75" customHeight="1">
      <c r="A135" s="37"/>
      <c r="C135" s="22"/>
      <c r="D135" s="60"/>
    </row>
    <row r="136" spans="1:6" ht="22.5">
      <c r="A136" s="25" t="s">
        <v>396</v>
      </c>
      <c r="B136" s="63"/>
      <c r="C136" s="63"/>
      <c r="D136" s="57">
        <f>D129/C133</f>
        <v>0.49438215041141526</v>
      </c>
      <c r="E136" s="58" t="s">
        <v>238</v>
      </c>
      <c r="F136" s="64"/>
    </row>
    <row r="137" spans="1:6" ht="51.75" customHeight="1">
      <c r="A137" s="364" t="s">
        <v>197</v>
      </c>
      <c r="B137" s="364"/>
      <c r="C137" s="364"/>
      <c r="D137" s="364"/>
      <c r="E137" s="364"/>
      <c r="F137" s="364"/>
    </row>
    <row r="138" spans="1:4" ht="12" customHeight="1">
      <c r="A138" s="48"/>
      <c r="C138" s="22"/>
      <c r="D138" s="60"/>
    </row>
    <row r="139" spans="1:6" ht="36" customHeight="1">
      <c r="A139" s="55" t="s">
        <v>430</v>
      </c>
      <c r="B139" s="368" t="s">
        <v>198</v>
      </c>
      <c r="C139" s="368"/>
      <c r="D139" s="368"/>
      <c r="E139" s="368"/>
      <c r="F139" s="368"/>
    </row>
    <row r="140" spans="1:3" ht="12">
      <c r="A140" s="37" t="s">
        <v>199</v>
      </c>
      <c r="B140" s="65" t="s">
        <v>406</v>
      </c>
      <c r="C140" s="66"/>
    </row>
    <row r="141" spans="1:3" ht="12">
      <c r="A141" s="67" t="s">
        <v>438</v>
      </c>
      <c r="B141" s="68"/>
      <c r="C141" s="69"/>
    </row>
    <row r="142" ht="12">
      <c r="A142" s="66" t="s">
        <v>322</v>
      </c>
    </row>
    <row r="143" ht="12">
      <c r="A143" s="14"/>
    </row>
    <row r="144" spans="1:5" ht="12">
      <c r="A144" t="s">
        <v>200</v>
      </c>
      <c r="D144" s="2">
        <v>9800</v>
      </c>
      <c r="E144" s="3" t="s">
        <v>238</v>
      </c>
    </row>
    <row r="145" spans="1:5" ht="12">
      <c r="A145" t="s">
        <v>201</v>
      </c>
      <c r="D145" s="2">
        <v>5200</v>
      </c>
      <c r="E145" s="3" t="s">
        <v>238</v>
      </c>
    </row>
    <row r="146" spans="1:5" ht="12">
      <c r="A146" t="s">
        <v>461</v>
      </c>
      <c r="D146" s="2">
        <v>4550</v>
      </c>
      <c r="E146" s="3" t="s">
        <v>238</v>
      </c>
    </row>
    <row r="147" spans="1:5" ht="12">
      <c r="A147" s="14" t="s">
        <v>202</v>
      </c>
      <c r="D147" s="2">
        <v>3150</v>
      </c>
      <c r="E147" s="3" t="s">
        <v>238</v>
      </c>
    </row>
    <row r="148" spans="1:5" ht="12">
      <c r="A148" t="s">
        <v>203</v>
      </c>
      <c r="D148" s="2">
        <v>1300</v>
      </c>
      <c r="E148" s="3" t="s">
        <v>238</v>
      </c>
    </row>
    <row r="149" spans="1:5" ht="12">
      <c r="A149" t="s">
        <v>204</v>
      </c>
      <c r="D149" s="2">
        <v>620</v>
      </c>
      <c r="E149" s="3" t="s">
        <v>238</v>
      </c>
    </row>
    <row r="151" ht="12">
      <c r="A151" s="70" t="s">
        <v>205</v>
      </c>
    </row>
    <row r="152" ht="12">
      <c r="A152" t="s">
        <v>166</v>
      </c>
    </row>
    <row r="154" spans="1:6" ht="18">
      <c r="A154" s="71" t="s">
        <v>167</v>
      </c>
      <c r="B154" s="72"/>
      <c r="C154" s="72"/>
      <c r="D154" s="73"/>
      <c r="E154" s="74"/>
      <c r="F154" s="75"/>
    </row>
    <row r="156" ht="12">
      <c r="A156" s="35" t="s">
        <v>168</v>
      </c>
    </row>
    <row r="157" ht="12">
      <c r="A157" s="35" t="s">
        <v>169</v>
      </c>
    </row>
    <row r="158" ht="12">
      <c r="A158" s="35" t="s">
        <v>170</v>
      </c>
    </row>
    <row r="159" ht="12">
      <c r="A159" s="35" t="s">
        <v>171</v>
      </c>
    </row>
    <row r="160" spans="1:4" ht="18">
      <c r="A160" s="37" t="s">
        <v>172</v>
      </c>
      <c r="D160" s="76" t="s">
        <v>431</v>
      </c>
    </row>
    <row r="161" spans="1:6" ht="12.75" thickBot="1">
      <c r="A161" t="s">
        <v>402</v>
      </c>
      <c r="B161" s="17">
        <v>1</v>
      </c>
      <c r="C161" s="18"/>
      <c r="D161" s="77">
        <f>B161*0.07*SUM(D31:D52)</f>
        <v>0.17500000000000002</v>
      </c>
      <c r="E161" s="78" t="s">
        <v>238</v>
      </c>
      <c r="F161" t="s">
        <v>412</v>
      </c>
    </row>
    <row r="162" spans="1:6" ht="12.75" thickBot="1">
      <c r="A162" s="44" t="s">
        <v>173</v>
      </c>
      <c r="B162" s="17">
        <v>1</v>
      </c>
      <c r="C162" s="18"/>
      <c r="D162" s="77">
        <f>B162*0.1*(SUM(D31:D52)-D161)</f>
        <v>0.23250000000000004</v>
      </c>
      <c r="E162" s="78" t="s">
        <v>238</v>
      </c>
      <c r="F162" t="s">
        <v>413</v>
      </c>
    </row>
    <row r="163" spans="1:6" ht="12.75" thickBot="1">
      <c r="A163" s="44" t="s">
        <v>174</v>
      </c>
      <c r="B163" s="17">
        <v>1</v>
      </c>
      <c r="C163" s="18"/>
      <c r="D163" s="77">
        <f>B163*0.1*(SUM(D31:D52)-SUM(D161:D162))</f>
        <v>0.20925</v>
      </c>
      <c r="E163" s="78" t="s">
        <v>238</v>
      </c>
      <c r="F163" t="s">
        <v>413</v>
      </c>
    </row>
    <row r="164" spans="1:6" ht="12.75" thickBot="1">
      <c r="A164" s="44" t="s">
        <v>175</v>
      </c>
      <c r="B164" s="17">
        <v>1</v>
      </c>
      <c r="C164" s="18"/>
      <c r="D164" s="77">
        <f>B164*0.1*(SUM(D31:D52)-SUM(D161:D163))</f>
        <v>0.188325</v>
      </c>
      <c r="E164" s="78" t="s">
        <v>238</v>
      </c>
      <c r="F164" t="s">
        <v>413</v>
      </c>
    </row>
    <row r="165" spans="1:6" ht="12.75" thickBot="1">
      <c r="A165" t="s">
        <v>403</v>
      </c>
      <c r="B165" s="17">
        <v>1</v>
      </c>
      <c r="D165" s="79">
        <f>B165*(SUM(D31:D52)-SUM(D161:D164))*0.1</f>
        <v>0.16949250000000002</v>
      </c>
      <c r="E165" s="78" t="s">
        <v>238</v>
      </c>
      <c r="F165" t="s">
        <v>413</v>
      </c>
    </row>
    <row r="166" spans="1:6" ht="12.75" thickBot="1">
      <c r="A166" s="345" t="s">
        <v>404</v>
      </c>
      <c r="B166" s="17">
        <v>0</v>
      </c>
      <c r="C166" s="18"/>
      <c r="D166" s="77">
        <f>B166*0.3*(SUM(D31:D52)-SUM(D161:D165))</f>
        <v>0</v>
      </c>
      <c r="E166" s="78" t="s">
        <v>238</v>
      </c>
      <c r="F166" t="s">
        <v>414</v>
      </c>
    </row>
    <row r="167" spans="1:6" ht="12.75" thickBot="1">
      <c r="A167" t="s">
        <v>405</v>
      </c>
      <c r="B167" s="17">
        <v>1</v>
      </c>
      <c r="D167" s="79">
        <f>MAX(0,B167*(SUM(D31:D52)-SUM(D161:D166))*(1-(B17/800)))</f>
        <v>1.5254325</v>
      </c>
      <c r="E167" s="78" t="s">
        <v>238</v>
      </c>
      <c r="F167" t="s">
        <v>415</v>
      </c>
    </row>
    <row r="168" spans="1:6" ht="12.75" thickBot="1">
      <c r="A168" t="s">
        <v>176</v>
      </c>
      <c r="B168" s="17">
        <v>10</v>
      </c>
      <c r="D168" s="79">
        <f>B168*SUM(D60:D61)/100</f>
        <v>0</v>
      </c>
      <c r="E168" s="78" t="s">
        <v>238</v>
      </c>
      <c r="F168" t="s">
        <v>416</v>
      </c>
    </row>
    <row r="169" spans="1:6" ht="12.75" thickBot="1">
      <c r="A169" t="s">
        <v>177</v>
      </c>
      <c r="B169" s="17">
        <v>0</v>
      </c>
      <c r="D169" s="79" t="e">
        <f>B169*(SUM(D60:D61)-D168)*(1-(83/B17))</f>
        <v>#DIV/0!</v>
      </c>
      <c r="E169" s="78" t="s">
        <v>238</v>
      </c>
      <c r="F169" t="s">
        <v>417</v>
      </c>
    </row>
    <row r="170" spans="1:6" ht="12.75" thickBot="1">
      <c r="A170" t="s">
        <v>178</v>
      </c>
      <c r="B170" s="17">
        <v>10</v>
      </c>
      <c r="D170" s="79">
        <f>B170*SUM(D67:D99)/100</f>
        <v>0</v>
      </c>
      <c r="E170" s="78" t="s">
        <v>238</v>
      </c>
      <c r="F170" t="s">
        <v>423</v>
      </c>
    </row>
    <row r="171" spans="1:6" ht="12.75" thickBot="1">
      <c r="A171" t="s">
        <v>179</v>
      </c>
      <c r="B171" s="17">
        <v>20</v>
      </c>
      <c r="D171" s="79">
        <f>B171*0.7*SUM(D67:D99)/100</f>
        <v>0</v>
      </c>
      <c r="E171" s="78" t="s">
        <v>238</v>
      </c>
      <c r="F171" t="s">
        <v>418</v>
      </c>
    </row>
    <row r="172" spans="1:6" ht="12.75" thickBot="1">
      <c r="A172" t="s">
        <v>180</v>
      </c>
      <c r="B172" s="17">
        <v>20</v>
      </c>
      <c r="D172" s="79">
        <f>B172*SUM(D67:D99)*(1-B17/800)/100</f>
        <v>0</v>
      </c>
      <c r="E172" s="78" t="s">
        <v>238</v>
      </c>
      <c r="F172" t="s">
        <v>421</v>
      </c>
    </row>
    <row r="173" spans="1:6" ht="12.75" thickBot="1">
      <c r="A173" t="s">
        <v>181</v>
      </c>
      <c r="B173" s="17">
        <v>0</v>
      </c>
      <c r="D173" s="79">
        <f>MAX(0,(B173*SUM(D67:D99)*(1-B17/800))-SUM(D170:D172))</f>
        <v>0</v>
      </c>
      <c r="E173" s="78" t="s">
        <v>238</v>
      </c>
      <c r="F173" t="s">
        <v>422</v>
      </c>
    </row>
    <row r="174" spans="1:6" ht="12.75" thickBot="1">
      <c r="A174" t="s">
        <v>182</v>
      </c>
      <c r="B174" s="17">
        <v>100</v>
      </c>
      <c r="D174" s="80">
        <f>MAX(0,B174*SUM(D116:D124)/100)</f>
        <v>0</v>
      </c>
      <c r="E174" s="78" t="s">
        <v>238</v>
      </c>
      <c r="F174" t="s">
        <v>419</v>
      </c>
    </row>
    <row r="175" spans="1:6" ht="12.75" thickBot="1">
      <c r="A175" t="s">
        <v>183</v>
      </c>
      <c r="B175" s="17">
        <v>10</v>
      </c>
      <c r="D175" s="80">
        <f>B175*150*B17/1000</f>
        <v>0</v>
      </c>
      <c r="E175" s="78" t="s">
        <v>238</v>
      </c>
      <c r="F175" t="s">
        <v>395</v>
      </c>
    </row>
    <row r="176" spans="1:5" ht="12">
      <c r="A176" t="s">
        <v>184</v>
      </c>
      <c r="D176" s="17"/>
      <c r="E176" s="3" t="s">
        <v>429</v>
      </c>
    </row>
    <row r="178" spans="1:6" ht="18">
      <c r="A178" s="61" t="s">
        <v>185</v>
      </c>
      <c r="B178" s="81"/>
      <c r="C178" s="82"/>
      <c r="D178" s="81" t="e">
        <f>MIN(SUM(D161:D176),D129)</f>
        <v>#DIV/0!</v>
      </c>
      <c r="E178" s="82" t="s">
        <v>238</v>
      </c>
      <c r="F178" s="83"/>
    </row>
    <row r="179" spans="1:6" ht="18">
      <c r="A179" s="61" t="s">
        <v>186</v>
      </c>
      <c r="B179" s="84" t="e">
        <f>100*D178/D129</f>
        <v>#DIV/0!</v>
      </c>
      <c r="C179" s="82" t="s">
        <v>432</v>
      </c>
      <c r="D179" s="84"/>
      <c r="E179" s="82"/>
      <c r="F179" s="83"/>
    </row>
    <row r="181" spans="1:7" ht="18">
      <c r="A181" s="360" t="s">
        <v>187</v>
      </c>
      <c r="B181" s="360"/>
      <c r="C181" s="360"/>
      <c r="D181" s="81" t="e">
        <f>D129-D178</f>
        <v>#DIV/0!</v>
      </c>
      <c r="E181" s="85" t="s">
        <v>238</v>
      </c>
      <c r="F181" s="82"/>
      <c r="G181" t="s">
        <v>420</v>
      </c>
    </row>
    <row r="183" spans="1:6" s="91" customFormat="1" ht="22.5">
      <c r="A183" s="86" t="s">
        <v>439</v>
      </c>
      <c r="B183" s="87"/>
      <c r="C183" s="87"/>
      <c r="D183" s="88"/>
      <c r="E183" s="89"/>
      <c r="F183" s="90"/>
    </row>
    <row r="184" spans="1:11" s="91" customFormat="1" ht="12">
      <c r="A184"/>
      <c r="B184" s="1"/>
      <c r="C184" s="1"/>
      <c r="D184" s="2"/>
      <c r="E184" s="3"/>
      <c r="F184"/>
      <c r="G184"/>
      <c r="H184"/>
      <c r="I184"/>
      <c r="J184"/>
      <c r="K184"/>
    </row>
    <row r="185" spans="1:16" ht="18">
      <c r="A185" s="367" t="s">
        <v>188</v>
      </c>
      <c r="B185" s="367"/>
      <c r="C185" s="367"/>
      <c r="D185" s="367"/>
      <c r="E185" s="367"/>
      <c r="F185" s="27" t="e">
        <f>D178/30</f>
        <v>#DIV/0!</v>
      </c>
      <c r="G185" s="365" t="s">
        <v>466</v>
      </c>
      <c r="H185" s="366"/>
      <c r="I185" s="366"/>
      <c r="J185" s="366"/>
      <c r="K185" s="366"/>
      <c r="L185" s="366"/>
      <c r="M185" s="366"/>
      <c r="N185" s="366"/>
      <c r="O185" s="366"/>
      <c r="P185" s="366"/>
    </row>
    <row r="186" ht="19.5" customHeight="1">
      <c r="F186" s="92"/>
    </row>
    <row r="187" spans="1:7" ht="22.5">
      <c r="A187" s="61" t="s">
        <v>189</v>
      </c>
      <c r="B187" s="93"/>
      <c r="C187" s="94"/>
      <c r="D187" s="95"/>
      <c r="E187" s="82"/>
      <c r="F187" s="96"/>
      <c r="G187" t="s">
        <v>382</v>
      </c>
    </row>
    <row r="188" spans="1:7" ht="22.5">
      <c r="A188" s="61" t="s">
        <v>144</v>
      </c>
      <c r="B188" s="84" t="e">
        <f>B179*B15/100</f>
        <v>#DIV/0!</v>
      </c>
      <c r="C188" s="94" t="s">
        <v>319</v>
      </c>
      <c r="D188" s="95"/>
      <c r="E188" s="82"/>
      <c r="F188" s="96"/>
      <c r="G188" t="s">
        <v>382</v>
      </c>
    </row>
    <row r="189" ht="3" customHeight="1">
      <c r="F189" s="92"/>
    </row>
    <row r="190" spans="1:7" ht="22.5">
      <c r="A190" s="61" t="s">
        <v>145</v>
      </c>
      <c r="B190" s="97"/>
      <c r="C190" s="97"/>
      <c r="D190" s="95"/>
      <c r="E190" s="82"/>
      <c r="F190" s="28" t="e">
        <f>B188*30</f>
        <v>#DIV/0!</v>
      </c>
      <c r="G190" t="s">
        <v>466</v>
      </c>
    </row>
    <row r="191" ht="3" customHeight="1">
      <c r="F191" s="92"/>
    </row>
    <row r="192" spans="1:7" ht="22.5">
      <c r="A192" s="61" t="s">
        <v>146</v>
      </c>
      <c r="B192" s="97"/>
      <c r="C192" s="97"/>
      <c r="D192" s="95"/>
      <c r="E192" s="363" t="e">
        <f>B188*3000</f>
        <v>#DIV/0!</v>
      </c>
      <c r="F192" s="363"/>
      <c r="G192" t="s">
        <v>383</v>
      </c>
    </row>
    <row r="194" spans="1:6" ht="22.5">
      <c r="A194" s="98" t="s">
        <v>147</v>
      </c>
      <c r="B194" s="99"/>
      <c r="C194" s="99"/>
      <c r="D194" s="100"/>
      <c r="E194" s="101"/>
      <c r="F194" s="102"/>
    </row>
    <row r="196" ht="12">
      <c r="A196" t="s">
        <v>148</v>
      </c>
    </row>
    <row r="197" ht="12">
      <c r="A197" t="s">
        <v>149</v>
      </c>
    </row>
    <row r="198" ht="12">
      <c r="A198" t="s">
        <v>440</v>
      </c>
    </row>
    <row r="199" ht="12">
      <c r="A199" t="s">
        <v>441</v>
      </c>
    </row>
    <row r="200" ht="12">
      <c r="A200" t="s">
        <v>150</v>
      </c>
    </row>
    <row r="201" ht="12">
      <c r="A201" t="s">
        <v>151</v>
      </c>
    </row>
    <row r="202" ht="12">
      <c r="A202" t="s">
        <v>152</v>
      </c>
    </row>
    <row r="203" ht="12">
      <c r="A203" t="s">
        <v>153</v>
      </c>
    </row>
    <row r="204" spans="1:3" ht="12">
      <c r="A204" t="s">
        <v>154</v>
      </c>
      <c r="B204" s="17"/>
      <c r="C204" s="344" t="s">
        <v>436</v>
      </c>
    </row>
    <row r="205" spans="1:5" ht="12">
      <c r="A205" t="s">
        <v>155</v>
      </c>
      <c r="B205" s="2"/>
      <c r="C205" s="18"/>
      <c r="D205" s="103">
        <f>B16*15</f>
        <v>0</v>
      </c>
      <c r="E205" s="104" t="s">
        <v>443</v>
      </c>
    </row>
    <row r="206" spans="1:3" ht="12">
      <c r="A206" t="s">
        <v>156</v>
      </c>
      <c r="B206" s="17"/>
      <c r="C206" s="344" t="s">
        <v>437</v>
      </c>
    </row>
    <row r="207" spans="1:5" ht="12">
      <c r="A207" t="s">
        <v>157</v>
      </c>
      <c r="D207" s="103">
        <f>B16/10</f>
        <v>0</v>
      </c>
      <c r="E207" s="104" t="s">
        <v>442</v>
      </c>
    </row>
    <row r="209" spans="1:7" ht="18">
      <c r="A209" s="71" t="s">
        <v>158</v>
      </c>
      <c r="B209" s="72"/>
      <c r="C209" s="105">
        <f>B204*0.1</f>
        <v>0</v>
      </c>
      <c r="D209" s="106" t="s">
        <v>159</v>
      </c>
      <c r="E209" s="369"/>
      <c r="F209" s="369"/>
      <c r="G209" t="s">
        <v>444</v>
      </c>
    </row>
    <row r="210" ht="3" customHeight="1">
      <c r="C210" s="107"/>
    </row>
    <row r="211" spans="1:7" ht="18">
      <c r="A211" s="71" t="s">
        <v>160</v>
      </c>
      <c r="B211" s="72"/>
      <c r="C211" s="105">
        <f>B206</f>
        <v>0</v>
      </c>
      <c r="D211" s="106" t="s">
        <v>159</v>
      </c>
      <c r="E211" s="369"/>
      <c r="F211" s="369"/>
      <c r="G211" t="s">
        <v>445</v>
      </c>
    </row>
    <row r="212" ht="24.75" customHeight="1">
      <c r="C212" s="107"/>
    </row>
    <row r="213" spans="1:7" ht="18">
      <c r="A213" s="71" t="s">
        <v>161</v>
      </c>
      <c r="B213" s="72"/>
      <c r="C213" s="105">
        <f>B204*0.0035</f>
        <v>0</v>
      </c>
      <c r="D213" s="370" t="s">
        <v>433</v>
      </c>
      <c r="E213" s="370"/>
      <c r="F213" s="370"/>
      <c r="G213" t="s">
        <v>446</v>
      </c>
    </row>
    <row r="214" ht="3" customHeight="1">
      <c r="C214" s="107"/>
    </row>
    <row r="215" spans="1:7" ht="18">
      <c r="A215" s="71" t="s">
        <v>162</v>
      </c>
      <c r="B215" s="72"/>
      <c r="C215" s="105">
        <f>B206*11.9</f>
        <v>0</v>
      </c>
      <c r="D215" s="370" t="s">
        <v>433</v>
      </c>
      <c r="E215" s="370"/>
      <c r="F215" s="370"/>
      <c r="G215" t="s">
        <v>447</v>
      </c>
    </row>
    <row r="216" ht="24.75" customHeight="1"/>
    <row r="217" spans="1:7" ht="18">
      <c r="A217" s="71" t="s">
        <v>163</v>
      </c>
      <c r="B217" s="72"/>
      <c r="C217" s="72"/>
      <c r="D217" s="108">
        <f>(5*C213*B17/1000)-(4*C213*0.7)</f>
        <v>0</v>
      </c>
      <c r="E217" s="369" t="s">
        <v>409</v>
      </c>
      <c r="F217" s="369"/>
      <c r="G217" t="s">
        <v>407</v>
      </c>
    </row>
    <row r="218" ht="3" customHeight="1"/>
    <row r="219" spans="1:7" ht="18">
      <c r="A219" s="367" t="s">
        <v>164</v>
      </c>
      <c r="B219" s="367"/>
      <c r="C219" s="367"/>
      <c r="D219" s="108">
        <f>MIN(C215*B17/1000,C19)</f>
        <v>0</v>
      </c>
      <c r="E219" s="369" t="s">
        <v>409</v>
      </c>
      <c r="F219" s="369"/>
      <c r="G219" t="s">
        <v>408</v>
      </c>
    </row>
    <row r="220" ht="10.5" customHeight="1">
      <c r="A220" t="s">
        <v>165</v>
      </c>
    </row>
    <row r="221" spans="1:5" s="109" customFormat="1" ht="12">
      <c r="A221" s="109" t="s">
        <v>107</v>
      </c>
      <c r="B221" s="110"/>
      <c r="C221" s="110"/>
      <c r="D221" s="111"/>
      <c r="E221" s="112"/>
    </row>
    <row r="222" spans="2:5" s="109" customFormat="1" ht="12">
      <c r="B222" s="110"/>
      <c r="C222" s="110"/>
      <c r="D222" s="111"/>
      <c r="E222" s="112"/>
    </row>
    <row r="223" spans="1:7" ht="18">
      <c r="A223" s="71" t="s">
        <v>108</v>
      </c>
      <c r="B223" s="71"/>
      <c r="C223" s="113" t="e">
        <f>100*((D217+D219)/C19)*(SUM(D60:D61)/D129)</f>
        <v>#DIV/0!</v>
      </c>
      <c r="D223" s="106" t="s">
        <v>432</v>
      </c>
      <c r="E223" s="114"/>
      <c r="F223" s="75"/>
      <c r="G223" t="s">
        <v>411</v>
      </c>
    </row>
    <row r="224" ht="12">
      <c r="A224" s="115" t="s">
        <v>109</v>
      </c>
    </row>
    <row r="225" ht="12">
      <c r="A225" s="115" t="s">
        <v>110</v>
      </c>
    </row>
    <row r="226" ht="12">
      <c r="A226" t="s">
        <v>111</v>
      </c>
    </row>
    <row r="228" spans="1:6" ht="22.5">
      <c r="A228" s="71" t="s">
        <v>112</v>
      </c>
      <c r="B228" s="72"/>
      <c r="C228" s="72"/>
      <c r="D228" s="116"/>
      <c r="E228" s="369"/>
      <c r="F228" s="369"/>
    </row>
    <row r="229" spans="1:7" ht="18">
      <c r="A229" s="360" t="s">
        <v>113</v>
      </c>
      <c r="B229" s="360"/>
      <c r="C229" s="360"/>
      <c r="D229" s="27" t="e">
        <f>MAX(D129-D178-(C223*D129/100),0)</f>
        <v>#DIV/0!</v>
      </c>
      <c r="E229" s="114" t="s">
        <v>238</v>
      </c>
      <c r="F229" s="75"/>
      <c r="G229" t="s">
        <v>410</v>
      </c>
    </row>
    <row r="230" spans="1:6" ht="18">
      <c r="A230" s="71" t="s">
        <v>114</v>
      </c>
      <c r="B230" s="71"/>
      <c r="C230" s="72"/>
      <c r="D230" s="27" t="e">
        <f>MAX(D129-D178-(C223*C133),0)/C133</f>
        <v>#DIV/0!</v>
      </c>
      <c r="E230" s="114" t="s">
        <v>429</v>
      </c>
      <c r="F230" s="75"/>
    </row>
    <row r="231" spans="1:6" ht="18">
      <c r="A231" s="71" t="s">
        <v>115</v>
      </c>
      <c r="B231" s="71"/>
      <c r="C231" s="72"/>
      <c r="D231" s="27" t="e">
        <f>C223+B179</f>
        <v>#DIV/0!</v>
      </c>
      <c r="E231" s="114" t="s">
        <v>116</v>
      </c>
      <c r="F231" s="75"/>
    </row>
    <row r="233" spans="1:6" ht="18">
      <c r="A233" s="360" t="s">
        <v>117</v>
      </c>
      <c r="B233" s="360"/>
      <c r="C233" s="84" t="s">
        <v>434</v>
      </c>
      <c r="D233" s="82" t="s">
        <v>435</v>
      </c>
      <c r="E233" s="83"/>
      <c r="F233" s="83"/>
    </row>
    <row r="234" spans="1:3" ht="12">
      <c r="A234" s="37" t="s">
        <v>118</v>
      </c>
      <c r="B234" s="65"/>
      <c r="C234" s="66"/>
    </row>
    <row r="235" ht="12">
      <c r="A235" t="s">
        <v>321</v>
      </c>
    </row>
    <row r="236" ht="12">
      <c r="A236" t="s">
        <v>320</v>
      </c>
    </row>
    <row r="238" spans="1:6" ht="18">
      <c r="A238" s="71" t="s">
        <v>119</v>
      </c>
      <c r="B238" s="117"/>
      <c r="C238" s="117"/>
      <c r="D238" s="118"/>
      <c r="E238" s="114"/>
      <c r="F238" s="71"/>
    </row>
    <row r="240" ht="12">
      <c r="A240" t="s">
        <v>120</v>
      </c>
    </row>
    <row r="241" ht="12">
      <c r="A241" t="s">
        <v>121</v>
      </c>
    </row>
    <row r="243" ht="12">
      <c r="A243" t="s">
        <v>122</v>
      </c>
    </row>
    <row r="245" ht="12">
      <c r="A245" s="119" t="s">
        <v>123</v>
      </c>
    </row>
    <row r="246" spans="1:3" ht="12" customHeight="1">
      <c r="A246" s="371" t="s">
        <v>124</v>
      </c>
      <c r="B246" s="371"/>
      <c r="C246" s="371"/>
    </row>
    <row r="247" ht="12" customHeight="1">
      <c r="A247" s="67" t="s">
        <v>125</v>
      </c>
    </row>
    <row r="248" ht="12">
      <c r="A248" s="67"/>
    </row>
    <row r="249" ht="12">
      <c r="A249" s="66" t="s">
        <v>457</v>
      </c>
    </row>
    <row r="250" ht="12">
      <c r="A250" s="66" t="s">
        <v>458</v>
      </c>
    </row>
    <row r="251" ht="12">
      <c r="A251" s="66" t="s">
        <v>459</v>
      </c>
    </row>
    <row r="252" ht="12">
      <c r="A252" s="66" t="s">
        <v>460</v>
      </c>
    </row>
  </sheetData>
  <sheetProtection/>
  <mergeCells count="34">
    <mergeCell ref="A233:B233"/>
    <mergeCell ref="A246:C246"/>
    <mergeCell ref="A219:C219"/>
    <mergeCell ref="E219:F219"/>
    <mergeCell ref="E228:F228"/>
    <mergeCell ref="A229:C229"/>
    <mergeCell ref="E211:F211"/>
    <mergeCell ref="D213:F213"/>
    <mergeCell ref="D215:F215"/>
    <mergeCell ref="E217:F217"/>
    <mergeCell ref="A185:E185"/>
    <mergeCell ref="G185:P185"/>
    <mergeCell ref="E192:F192"/>
    <mergeCell ref="E209:F209"/>
    <mergeCell ref="A131:E131"/>
    <mergeCell ref="A137:F137"/>
    <mergeCell ref="B139:F139"/>
    <mergeCell ref="A181:C181"/>
    <mergeCell ref="F120:K120"/>
    <mergeCell ref="F121:K121"/>
    <mergeCell ref="F122:K122"/>
    <mergeCell ref="A127:E127"/>
    <mergeCell ref="F114:K114"/>
    <mergeCell ref="F117:G117"/>
    <mergeCell ref="F118:K118"/>
    <mergeCell ref="F119:K119"/>
    <mergeCell ref="A23:D23"/>
    <mergeCell ref="E23:F23"/>
    <mergeCell ref="G23:K23"/>
    <mergeCell ref="A112:E112"/>
    <mergeCell ref="E2:F12"/>
    <mergeCell ref="A19:B19"/>
    <mergeCell ref="A21:E21"/>
    <mergeCell ref="G21:K21"/>
  </mergeCells>
  <hyperlinks>
    <hyperlink ref="C14" r:id="rId1" display=" http://www.ecolo.org/documents/documents_in_english/IEA-Stats-all-03.html"/>
    <hyperlink ref="A151" r:id="rId2" display="Für Durchschnittswerte in änderen Ländern: http://www.ecolo.org/documents/documents_in_english/IEA-Stats-all-03.html"/>
  </hyperlinks>
  <printOptions gridLines="1"/>
  <pageMargins left="0.5" right="0.5" top="0.5" bottom="0.5" header="0.5118055555555555" footer="0.5118055555555555"/>
  <pageSetup fitToHeight="1" fitToWidth="1"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150" zoomScaleNormal="150" workbookViewId="0" topLeftCell="A1">
      <selection activeCell="A2" sqref="A2"/>
    </sheetView>
  </sheetViews>
  <sheetFormatPr defaultColWidth="11.421875" defaultRowHeight="12.75"/>
  <cols>
    <col min="1" max="1" width="17.00390625" style="0" customWidth="1"/>
  </cols>
  <sheetData>
    <row r="1" spans="1:3" ht="12">
      <c r="A1" s="372" t="s">
        <v>126</v>
      </c>
      <c r="B1" s="372"/>
      <c r="C1" s="372"/>
    </row>
    <row r="3" spans="1:2" ht="12">
      <c r="A3" t="s">
        <v>127</v>
      </c>
      <c r="B3">
        <v>83</v>
      </c>
    </row>
    <row r="4" spans="1:2" ht="12">
      <c r="A4" t="s">
        <v>128</v>
      </c>
      <c r="B4">
        <v>87</v>
      </c>
    </row>
    <row r="5" spans="1:2" ht="12">
      <c r="A5" t="s">
        <v>129</v>
      </c>
      <c r="B5">
        <v>220</v>
      </c>
    </row>
    <row r="6" spans="1:2" ht="12">
      <c r="A6" t="s">
        <v>130</v>
      </c>
      <c r="B6">
        <v>250</v>
      </c>
    </row>
    <row r="7" spans="1:2" ht="12">
      <c r="A7" t="s">
        <v>131</v>
      </c>
      <c r="B7">
        <v>335</v>
      </c>
    </row>
    <row r="8" spans="1:2" ht="12">
      <c r="A8" t="s">
        <v>132</v>
      </c>
      <c r="B8">
        <v>353</v>
      </c>
    </row>
    <row r="9" spans="1:2" ht="12">
      <c r="A9" t="s">
        <v>133</v>
      </c>
      <c r="B9">
        <v>399</v>
      </c>
    </row>
    <row r="10" spans="1:2" ht="12">
      <c r="A10" t="s">
        <v>134</v>
      </c>
      <c r="B10">
        <v>408</v>
      </c>
    </row>
    <row r="11" spans="1:2" ht="12">
      <c r="A11" t="s">
        <v>135</v>
      </c>
      <c r="B11">
        <v>483</v>
      </c>
    </row>
    <row r="12" spans="1:2" ht="12">
      <c r="A12" t="s">
        <v>136</v>
      </c>
      <c r="B12">
        <v>525</v>
      </c>
    </row>
    <row r="13" spans="1:2" ht="12">
      <c r="A13" t="s">
        <v>137</v>
      </c>
      <c r="B13">
        <v>580</v>
      </c>
    </row>
    <row r="14" spans="1:2" ht="12">
      <c r="A14" t="s">
        <v>138</v>
      </c>
      <c r="B14">
        <v>590</v>
      </c>
    </row>
    <row r="15" spans="1:2" ht="12">
      <c r="A15" t="s">
        <v>139</v>
      </c>
      <c r="B15">
        <v>601</v>
      </c>
    </row>
    <row r="16" spans="1:2" ht="12">
      <c r="A16" t="s">
        <v>140</v>
      </c>
      <c r="B16">
        <v>613</v>
      </c>
    </row>
    <row r="17" spans="1:2" ht="12">
      <c r="A17" t="s">
        <v>141</v>
      </c>
      <c r="B17">
        <v>652</v>
      </c>
    </row>
    <row r="18" spans="1:2" ht="12">
      <c r="A18" t="s">
        <v>142</v>
      </c>
      <c r="B18">
        <v>667</v>
      </c>
    </row>
    <row r="19" spans="1:2" ht="12">
      <c r="A19" t="s">
        <v>143</v>
      </c>
      <c r="B19">
        <v>784</v>
      </c>
    </row>
    <row r="20" spans="1:2" ht="12">
      <c r="A20" t="s">
        <v>0</v>
      </c>
      <c r="B20">
        <v>864</v>
      </c>
    </row>
    <row r="21" spans="1:2" ht="12">
      <c r="A21" t="s">
        <v>1</v>
      </c>
      <c r="B21">
        <v>881</v>
      </c>
    </row>
    <row r="23" spans="1:6" ht="12">
      <c r="A23" s="373" t="s">
        <v>2</v>
      </c>
      <c r="B23" s="373"/>
      <c r="C23" s="373"/>
      <c r="D23" s="373"/>
      <c r="E23" s="373"/>
      <c r="F23" s="373"/>
    </row>
  </sheetData>
  <sheetProtection/>
  <mergeCells count="2">
    <mergeCell ref="A1:C1"/>
    <mergeCell ref="A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150" zoomScaleNormal="150" workbookViewId="0" topLeftCell="A34">
      <selection activeCell="A1" sqref="A1"/>
    </sheetView>
  </sheetViews>
  <sheetFormatPr defaultColWidth="11.421875" defaultRowHeight="12.75"/>
  <sheetData>
    <row r="1" spans="1:18" ht="12">
      <c r="A1" s="121" t="s">
        <v>3</v>
      </c>
      <c r="B1" s="122"/>
      <c r="C1" s="122"/>
      <c r="D1" s="122"/>
      <c r="E1" s="122"/>
      <c r="F1" s="122"/>
      <c r="G1" s="122"/>
      <c r="H1" s="123"/>
      <c r="I1" s="124" t="s">
        <v>4</v>
      </c>
      <c r="J1" s="125"/>
      <c r="K1" s="126" t="s">
        <v>5</v>
      </c>
      <c r="L1" s="122"/>
      <c r="M1" s="122"/>
      <c r="N1" s="127"/>
      <c r="O1" s="128"/>
      <c r="P1" s="129"/>
      <c r="Q1" s="129"/>
      <c r="R1" s="125"/>
    </row>
    <row r="2" spans="1:18" ht="12">
      <c r="A2" s="130" t="s">
        <v>6</v>
      </c>
      <c r="B2" s="120" t="s">
        <v>7</v>
      </c>
      <c r="C2" s="131"/>
      <c r="D2" s="132" t="s">
        <v>8</v>
      </c>
      <c r="E2" s="133"/>
      <c r="F2" s="125"/>
      <c r="G2" s="134" t="s">
        <v>9</v>
      </c>
      <c r="H2" s="133"/>
      <c r="I2" s="135"/>
      <c r="J2" s="136"/>
      <c r="K2" s="130" t="s">
        <v>6</v>
      </c>
      <c r="L2" s="137"/>
      <c r="M2" s="137"/>
      <c r="N2" s="374" t="s">
        <v>9</v>
      </c>
      <c r="O2" s="374"/>
      <c r="P2" s="374"/>
      <c r="Q2" s="374"/>
      <c r="R2" s="138"/>
    </row>
    <row r="3" spans="1:18" ht="12">
      <c r="A3" s="139"/>
      <c r="B3" s="136" t="s">
        <v>10</v>
      </c>
      <c r="C3" s="140" t="s">
        <v>11</v>
      </c>
      <c r="D3" s="136"/>
      <c r="E3" s="141" t="s">
        <v>12</v>
      </c>
      <c r="F3" s="138"/>
      <c r="G3" s="142"/>
      <c r="H3" s="143"/>
      <c r="I3" s="144"/>
      <c r="J3" s="142"/>
      <c r="K3" s="138"/>
      <c r="L3" s="142"/>
      <c r="M3" s="142"/>
      <c r="N3" s="145"/>
      <c r="O3" s="146"/>
      <c r="P3" s="146"/>
      <c r="Q3" s="147"/>
      <c r="R3" s="138"/>
    </row>
    <row r="4" spans="1:18" ht="12">
      <c r="A4" s="139"/>
      <c r="B4" s="142"/>
      <c r="C4" s="148"/>
      <c r="D4" s="142"/>
      <c r="E4" s="143"/>
      <c r="F4" s="138"/>
      <c r="G4" s="142"/>
      <c r="H4" s="143"/>
      <c r="I4" s="149"/>
      <c r="J4" s="142"/>
      <c r="K4" s="138"/>
      <c r="L4" s="142"/>
      <c r="M4" s="142"/>
      <c r="N4" s="145"/>
      <c r="O4" s="146"/>
      <c r="P4" s="146"/>
      <c r="Q4" s="147"/>
      <c r="R4" s="138"/>
    </row>
    <row r="5" spans="1:18" ht="24">
      <c r="A5" s="150" t="s">
        <v>13</v>
      </c>
      <c r="B5" s="151"/>
      <c r="C5" s="152"/>
      <c r="D5" s="153"/>
      <c r="E5" s="154"/>
      <c r="F5" s="155" t="s">
        <v>14</v>
      </c>
      <c r="G5" s="156" t="s">
        <v>15</v>
      </c>
      <c r="H5" s="157"/>
      <c r="I5" s="158"/>
      <c r="J5" s="159"/>
      <c r="K5" s="160"/>
      <c r="L5" s="151"/>
      <c r="M5" s="151"/>
      <c r="N5" s="161"/>
      <c r="O5" s="162"/>
      <c r="P5" s="162"/>
      <c r="Q5" s="163"/>
      <c r="R5" s="164"/>
    </row>
    <row r="6" spans="1:18" ht="12">
      <c r="A6" s="165" t="s">
        <v>16</v>
      </c>
      <c r="B6" s="166"/>
      <c r="C6" s="167"/>
      <c r="D6" s="168"/>
      <c r="E6" s="169"/>
      <c r="F6" s="170">
        <v>0.117</v>
      </c>
      <c r="G6" s="171">
        <v>0.43</v>
      </c>
      <c r="H6" s="172"/>
      <c r="I6" s="173"/>
      <c r="J6" s="146"/>
      <c r="K6" s="138"/>
      <c r="L6" s="142"/>
      <c r="M6" s="142"/>
      <c r="N6" s="145"/>
      <c r="O6" s="146"/>
      <c r="P6" s="146"/>
      <c r="Q6" s="147"/>
      <c r="R6" s="164"/>
    </row>
    <row r="7" spans="1:18" ht="24">
      <c r="A7" s="174" t="s">
        <v>17</v>
      </c>
      <c r="B7" s="142"/>
      <c r="C7" s="140"/>
      <c r="D7" s="136"/>
      <c r="E7" s="175"/>
      <c r="F7" s="176"/>
      <c r="G7" s="159" t="s">
        <v>18</v>
      </c>
      <c r="H7" s="147"/>
      <c r="I7" s="173"/>
      <c r="J7" s="146"/>
      <c r="K7" s="138"/>
      <c r="L7" s="142"/>
      <c r="M7" s="142"/>
      <c r="N7" s="145"/>
      <c r="O7" s="146"/>
      <c r="P7" s="146"/>
      <c r="Q7" s="147"/>
      <c r="R7" s="164"/>
    </row>
    <row r="8" spans="1:18" ht="12">
      <c r="A8" s="165" t="s">
        <v>19</v>
      </c>
      <c r="B8" s="142"/>
      <c r="C8" s="167"/>
      <c r="D8" s="168"/>
      <c r="E8" s="169"/>
      <c r="F8" s="170">
        <v>0.0453</v>
      </c>
      <c r="G8" s="171">
        <v>0.1661</v>
      </c>
      <c r="H8" s="147"/>
      <c r="I8" s="173"/>
      <c r="J8" s="146"/>
      <c r="K8" s="138"/>
      <c r="L8" s="142"/>
      <c r="M8" s="142"/>
      <c r="N8" s="145"/>
      <c r="O8" s="146"/>
      <c r="P8" s="146"/>
      <c r="Q8" s="147"/>
      <c r="R8" s="164"/>
    </row>
    <row r="9" spans="1:18" ht="12">
      <c r="A9" s="139"/>
      <c r="B9" s="142"/>
      <c r="C9" s="177"/>
      <c r="D9" s="142"/>
      <c r="E9" s="143"/>
      <c r="F9" s="138"/>
      <c r="G9" s="142"/>
      <c r="H9" s="178"/>
      <c r="I9" s="179"/>
      <c r="J9" s="142"/>
      <c r="K9" s="180"/>
      <c r="L9" s="166"/>
      <c r="M9" s="166"/>
      <c r="N9" s="181"/>
      <c r="O9" s="182"/>
      <c r="P9" s="182"/>
      <c r="Q9" s="172"/>
      <c r="R9" s="164"/>
    </row>
    <row r="10" spans="1:18" ht="36">
      <c r="A10" s="183" t="s">
        <v>20</v>
      </c>
      <c r="B10" s="156" t="s">
        <v>21</v>
      </c>
      <c r="C10" s="184" t="s">
        <v>21</v>
      </c>
      <c r="D10" s="156" t="s">
        <v>22</v>
      </c>
      <c r="E10" s="157" t="s">
        <v>23</v>
      </c>
      <c r="F10" s="155" t="s">
        <v>14</v>
      </c>
      <c r="G10" s="156" t="s">
        <v>24</v>
      </c>
      <c r="H10" s="185" t="s">
        <v>25</v>
      </c>
      <c r="I10" s="158" t="s">
        <v>26</v>
      </c>
      <c r="J10" s="159"/>
      <c r="K10" s="186" t="s">
        <v>27</v>
      </c>
      <c r="L10" s="187" t="s">
        <v>28</v>
      </c>
      <c r="M10" s="156" t="s">
        <v>29</v>
      </c>
      <c r="N10" s="188" t="s">
        <v>30</v>
      </c>
      <c r="O10" s="189" t="s">
        <v>31</v>
      </c>
      <c r="P10" s="189" t="s">
        <v>32</v>
      </c>
      <c r="Q10" s="190" t="s">
        <v>33</v>
      </c>
      <c r="R10" s="191"/>
    </row>
    <row r="11" spans="1:18" ht="12">
      <c r="A11" s="139" t="s">
        <v>34</v>
      </c>
      <c r="B11" s="146">
        <f>C11*0.95</f>
        <v>7046.15</v>
      </c>
      <c r="C11" s="192">
        <v>7417</v>
      </c>
      <c r="D11" s="193" t="s">
        <v>35</v>
      </c>
      <c r="E11" s="194" t="s">
        <v>35</v>
      </c>
      <c r="F11" s="176">
        <v>0.0817</v>
      </c>
      <c r="G11" s="195">
        <v>0.3</v>
      </c>
      <c r="H11" s="147">
        <f>G11*C11</f>
        <v>2225.1</v>
      </c>
      <c r="I11" s="196">
        <f>H11/1000</f>
        <v>2.2251</v>
      </c>
      <c r="J11" s="146"/>
      <c r="K11" s="138" t="s">
        <v>36</v>
      </c>
      <c r="L11" s="142" t="s">
        <v>37</v>
      </c>
      <c r="M11" s="197">
        <f>O11/N11</f>
        <v>5473.014942320131</v>
      </c>
      <c r="N11" s="145">
        <f>Q11*$L$60</f>
        <v>0.35191527123848515</v>
      </c>
      <c r="O11" s="198">
        <f>P11*$L$56</f>
        <v>1926.037537918871</v>
      </c>
      <c r="P11" s="199">
        <v>3852.16</v>
      </c>
      <c r="Q11" s="200">
        <v>227.4</v>
      </c>
      <c r="R11" s="164"/>
    </row>
    <row r="12" spans="1:18" ht="12">
      <c r="A12" s="139"/>
      <c r="B12" s="146">
        <f>C12*0.95</f>
        <v>0</v>
      </c>
      <c r="C12" s="192"/>
      <c r="D12" s="193"/>
      <c r="E12" s="201"/>
      <c r="F12" s="176"/>
      <c r="G12" s="195"/>
      <c r="H12" s="147"/>
      <c r="I12" s="173"/>
      <c r="J12" s="146"/>
      <c r="K12" s="138" t="s">
        <v>38</v>
      </c>
      <c r="L12" s="142" t="s">
        <v>39</v>
      </c>
      <c r="M12" s="197">
        <f>O12/N12</f>
        <v>7760.420451938961</v>
      </c>
      <c r="N12" s="145">
        <f>Q12*$L$60</f>
        <v>0.31771418287273967</v>
      </c>
      <c r="O12" s="198">
        <f>P12*$L$56</f>
        <v>2465.5956426366843</v>
      </c>
      <c r="P12" s="199">
        <v>4931.3</v>
      </c>
      <c r="Q12" s="200">
        <v>205.3</v>
      </c>
      <c r="R12" s="164"/>
    </row>
    <row r="13" spans="1:18" ht="12">
      <c r="A13" s="139"/>
      <c r="B13" s="146">
        <f>C13*0.95</f>
        <v>0</v>
      </c>
      <c r="C13" s="192"/>
      <c r="D13" s="193"/>
      <c r="E13" s="201"/>
      <c r="F13" s="176"/>
      <c r="G13" s="195"/>
      <c r="H13" s="147"/>
      <c r="I13" s="173"/>
      <c r="J13" s="146"/>
      <c r="K13" s="138" t="s">
        <v>40</v>
      </c>
      <c r="L13" s="142" t="s">
        <v>41</v>
      </c>
      <c r="M13" s="197">
        <f>O13/N13</f>
        <v>5644.289812513838</v>
      </c>
      <c r="N13" s="145">
        <f>Q13*$L$60</f>
        <v>0.329166131013306</v>
      </c>
      <c r="O13" s="198">
        <f>P13*$L$56</f>
        <v>1857.9090399029983</v>
      </c>
      <c r="P13" s="199">
        <v>3715.9</v>
      </c>
      <c r="Q13" s="200">
        <v>212.7</v>
      </c>
      <c r="R13" s="164"/>
    </row>
    <row r="14" spans="1:18" ht="12">
      <c r="A14" s="139"/>
      <c r="B14" s="202"/>
      <c r="C14" s="192"/>
      <c r="D14" s="142"/>
      <c r="E14" s="143"/>
      <c r="F14" s="176"/>
      <c r="G14" s="195"/>
      <c r="H14" s="147"/>
      <c r="I14" s="173"/>
      <c r="J14" s="146"/>
      <c r="K14" s="138" t="s">
        <v>42</v>
      </c>
      <c r="L14" s="142" t="s">
        <v>43</v>
      </c>
      <c r="M14" s="203">
        <f>O14/N14</f>
        <v>4187.166855806596</v>
      </c>
      <c r="N14" s="145">
        <f>Q14*$L$60</f>
        <v>0.3333445445240532</v>
      </c>
      <c r="O14" s="198">
        <f>P14*$L$56</f>
        <v>1395.7692283950616</v>
      </c>
      <c r="P14" s="199">
        <v>2791.6</v>
      </c>
      <c r="Q14" s="200">
        <v>215.4</v>
      </c>
      <c r="R14" s="164"/>
    </row>
    <row r="15" spans="1:18" ht="12">
      <c r="A15" s="139" t="s">
        <v>44</v>
      </c>
      <c r="B15" s="146">
        <f>C15*1</f>
        <v>8445</v>
      </c>
      <c r="C15" s="192">
        <v>8445</v>
      </c>
      <c r="D15" s="193" t="s">
        <v>35</v>
      </c>
      <c r="E15" s="201" t="s">
        <v>35</v>
      </c>
      <c r="F15" s="176">
        <v>0.1013</v>
      </c>
      <c r="G15" s="195">
        <v>0.373</v>
      </c>
      <c r="H15" s="147">
        <f>G15*C15</f>
        <v>3149.985</v>
      </c>
      <c r="I15" s="196">
        <f>H15/1000</f>
        <v>3.149985</v>
      </c>
      <c r="J15" s="146"/>
      <c r="K15" s="138"/>
      <c r="L15" s="142"/>
      <c r="M15" s="197"/>
      <c r="N15" s="145"/>
      <c r="O15" s="198"/>
      <c r="P15" s="199"/>
      <c r="Q15" s="200"/>
      <c r="R15" s="164"/>
    </row>
    <row r="16" spans="1:18" ht="12">
      <c r="A16" s="139"/>
      <c r="B16" s="204"/>
      <c r="C16" s="192"/>
      <c r="D16" s="142"/>
      <c r="E16" s="143"/>
      <c r="F16" s="176"/>
      <c r="G16" s="195"/>
      <c r="H16" s="147"/>
      <c r="I16" s="173"/>
      <c r="J16" s="146"/>
      <c r="K16" s="205"/>
      <c r="L16" s="206"/>
      <c r="M16" s="206"/>
      <c r="N16" s="181"/>
      <c r="O16" s="182"/>
      <c r="P16" s="182"/>
      <c r="Q16" s="172"/>
      <c r="R16" s="164"/>
    </row>
    <row r="17" spans="1:18" ht="36">
      <c r="A17" s="150" t="s">
        <v>45</v>
      </c>
      <c r="B17" s="207" t="s">
        <v>21</v>
      </c>
      <c r="C17" s="184" t="s">
        <v>21</v>
      </c>
      <c r="D17" s="156" t="s">
        <v>22</v>
      </c>
      <c r="E17" s="208" t="s">
        <v>23</v>
      </c>
      <c r="F17" s="155" t="s">
        <v>14</v>
      </c>
      <c r="G17" s="156" t="s">
        <v>24</v>
      </c>
      <c r="H17" s="157" t="s">
        <v>46</v>
      </c>
      <c r="I17" s="209" t="s">
        <v>47</v>
      </c>
      <c r="J17" s="159"/>
      <c r="K17" s="210" t="s">
        <v>48</v>
      </c>
      <c r="L17" s="142"/>
      <c r="M17" s="159" t="s">
        <v>49</v>
      </c>
      <c r="N17" s="211" t="s">
        <v>30</v>
      </c>
      <c r="O17" s="212" t="s">
        <v>50</v>
      </c>
      <c r="P17" s="212" t="s">
        <v>51</v>
      </c>
      <c r="Q17" s="213" t="s">
        <v>33</v>
      </c>
      <c r="R17" s="164"/>
    </row>
    <row r="18" spans="1:18" ht="12">
      <c r="A18" s="139" t="s">
        <v>52</v>
      </c>
      <c r="B18" s="146">
        <f>C18*0.95</f>
        <v>13367.449999999999</v>
      </c>
      <c r="C18" s="192">
        <v>14071</v>
      </c>
      <c r="D18" s="214">
        <v>2730</v>
      </c>
      <c r="E18" s="143">
        <v>5.2</v>
      </c>
      <c r="F18" s="176">
        <v>0.0545</v>
      </c>
      <c r="G18" s="195">
        <v>0.2</v>
      </c>
      <c r="H18" s="215">
        <f>G18*E18</f>
        <v>1.04</v>
      </c>
      <c r="I18" s="216">
        <f>H18*4.5461</f>
        <v>4.727944</v>
      </c>
      <c r="J18" s="217"/>
      <c r="K18" s="218" t="s">
        <v>53</v>
      </c>
      <c r="L18" s="142" t="s">
        <v>54</v>
      </c>
      <c r="M18" s="219">
        <f aca="true" t="shared" si="0" ref="M18:M28">O18/N18</f>
        <v>7.048160503446952</v>
      </c>
      <c r="N18" s="145">
        <f aca="true" t="shared" si="1" ref="N18:N28">Q18*$L$60</f>
        <v>0.21538638355510065</v>
      </c>
      <c r="O18" s="220">
        <f aca="true" t="shared" si="2" ref="O18:O28">P18*$L$64</f>
        <v>1.5180778015533365</v>
      </c>
      <c r="P18" s="199">
        <v>12.669</v>
      </c>
      <c r="Q18" s="200">
        <v>139.178</v>
      </c>
      <c r="R18" s="164"/>
    </row>
    <row r="19" spans="1:18" ht="12">
      <c r="A19" s="139" t="s">
        <v>55</v>
      </c>
      <c r="B19" s="146">
        <f>C19*0.95</f>
        <v>13034.949999999999</v>
      </c>
      <c r="C19" s="192">
        <v>13721</v>
      </c>
      <c r="D19" s="214">
        <v>1850</v>
      </c>
      <c r="E19" s="143">
        <v>7.4</v>
      </c>
      <c r="F19" s="176">
        <v>0.05734</v>
      </c>
      <c r="G19" s="195">
        <v>0.214</v>
      </c>
      <c r="H19" s="215">
        <f>G19*E19</f>
        <v>1.5836000000000001</v>
      </c>
      <c r="I19" s="216">
        <f>H19*4.5461</f>
        <v>7.19920396</v>
      </c>
      <c r="J19" s="217"/>
      <c r="K19" s="218" t="s">
        <v>56</v>
      </c>
      <c r="L19" s="142" t="s">
        <v>57</v>
      </c>
      <c r="M19" s="219">
        <f t="shared" si="0"/>
        <v>7.130943375686292</v>
      </c>
      <c r="N19" s="145">
        <f t="shared" si="1"/>
        <v>0.2151712726373251</v>
      </c>
      <c r="O19" s="220">
        <f t="shared" si="2"/>
        <v>1.5343741612511226</v>
      </c>
      <c r="P19" s="199">
        <v>12.805</v>
      </c>
      <c r="Q19" s="200">
        <v>139.039</v>
      </c>
      <c r="R19" s="164"/>
    </row>
    <row r="20" spans="1:18" ht="12">
      <c r="A20" s="139"/>
      <c r="B20" s="146">
        <f>Y20*$C$59*1000</f>
        <v>0</v>
      </c>
      <c r="C20" s="192"/>
      <c r="D20" s="214"/>
      <c r="E20" s="143"/>
      <c r="F20" s="176"/>
      <c r="G20" s="195"/>
      <c r="H20" s="215"/>
      <c r="I20" s="216"/>
      <c r="J20" s="217"/>
      <c r="K20" s="218"/>
      <c r="L20" s="142"/>
      <c r="M20" s="219"/>
      <c r="N20" s="145"/>
      <c r="O20" s="220"/>
      <c r="P20" s="199"/>
      <c r="Q20" s="200"/>
      <c r="R20" s="164"/>
    </row>
    <row r="21" spans="1:18" ht="12">
      <c r="A21" s="221"/>
      <c r="B21" s="146">
        <f>Y21*$C$59*1000</f>
        <v>0</v>
      </c>
      <c r="C21" s="192"/>
      <c r="D21" s="214"/>
      <c r="E21" s="143"/>
      <c r="F21" s="138"/>
      <c r="G21" s="142"/>
      <c r="H21" s="143"/>
      <c r="I21" s="144"/>
      <c r="J21" s="217"/>
      <c r="K21" s="218" t="s">
        <v>58</v>
      </c>
      <c r="L21" s="142" t="s">
        <v>59</v>
      </c>
      <c r="M21" s="219">
        <f t="shared" si="0"/>
        <v>9.306171364016098</v>
      </c>
      <c r="N21" s="145">
        <f t="shared" si="1"/>
        <v>0.23633880597065848</v>
      </c>
      <c r="O21" s="220">
        <f t="shared" si="2"/>
        <v>2.199409428329899</v>
      </c>
      <c r="P21" s="199">
        <v>18.355</v>
      </c>
      <c r="Q21" s="200">
        <v>152.717</v>
      </c>
      <c r="R21" s="164"/>
    </row>
    <row r="22" spans="1:18" ht="12">
      <c r="A22" s="139" t="s">
        <v>60</v>
      </c>
      <c r="B22" s="146">
        <f>C22*0.95</f>
        <v>12432.65</v>
      </c>
      <c r="C22" s="192">
        <v>13087</v>
      </c>
      <c r="D22" s="214">
        <v>1362</v>
      </c>
      <c r="E22" s="143">
        <v>9.6</v>
      </c>
      <c r="F22" s="176">
        <v>0.0655</v>
      </c>
      <c r="G22" s="195">
        <v>0.24</v>
      </c>
      <c r="H22" s="215">
        <f>G22*E22</f>
        <v>2.304</v>
      </c>
      <c r="I22" s="216">
        <f>H22*4.5461</f>
        <v>10.4742144</v>
      </c>
      <c r="J22" s="217"/>
      <c r="K22" s="218" t="s">
        <v>61</v>
      </c>
      <c r="L22" s="142" t="s">
        <v>62</v>
      </c>
      <c r="M22" s="219">
        <f t="shared" si="0"/>
        <v>9.684016732136532</v>
      </c>
      <c r="N22" s="145">
        <f t="shared" si="1"/>
        <v>0.24207716052541794</v>
      </c>
      <c r="O22" s="220">
        <f t="shared" si="2"/>
        <v>2.3442792729962485</v>
      </c>
      <c r="P22" s="199">
        <v>19.564</v>
      </c>
      <c r="Q22" s="200">
        <v>156.425</v>
      </c>
      <c r="R22" s="164"/>
    </row>
    <row r="23" spans="1:18" ht="12">
      <c r="A23" s="139" t="s">
        <v>63</v>
      </c>
      <c r="B23" s="146">
        <f>C23*0.95</f>
        <v>12202.75</v>
      </c>
      <c r="C23" s="192">
        <v>12845</v>
      </c>
      <c r="D23" s="214">
        <v>1251</v>
      </c>
      <c r="E23" s="143">
        <v>10.3</v>
      </c>
      <c r="F23" s="176">
        <v>0.0655</v>
      </c>
      <c r="G23" s="195">
        <v>0.24</v>
      </c>
      <c r="H23" s="215">
        <f>G23*E23</f>
        <v>2.472</v>
      </c>
      <c r="I23" s="216">
        <f>H23*4.5461</f>
        <v>11.2379592</v>
      </c>
      <c r="J23" s="217"/>
      <c r="K23" s="218" t="s">
        <v>64</v>
      </c>
      <c r="L23" s="142" t="s">
        <v>65</v>
      </c>
      <c r="M23" s="219">
        <f t="shared" si="0"/>
        <v>10.453008632237946</v>
      </c>
      <c r="N23" s="145">
        <f t="shared" si="1"/>
        <v>0.24181871791197543</v>
      </c>
      <c r="O23" s="220">
        <f t="shared" si="2"/>
        <v>2.527733145770592</v>
      </c>
      <c r="P23" s="199">
        <v>21.095</v>
      </c>
      <c r="Q23" s="200">
        <v>156.258</v>
      </c>
      <c r="R23" s="164"/>
    </row>
    <row r="24" spans="1:18" ht="12">
      <c r="A24" s="139"/>
      <c r="B24" s="146">
        <f>Y24*$C$59*1000</f>
        <v>0</v>
      </c>
      <c r="C24" s="192"/>
      <c r="D24" s="214"/>
      <c r="E24" s="143"/>
      <c r="F24" s="176"/>
      <c r="G24" s="195"/>
      <c r="H24" s="215"/>
      <c r="I24" s="216"/>
      <c r="J24" s="217"/>
      <c r="K24" s="218"/>
      <c r="L24" s="142"/>
      <c r="M24" s="219"/>
      <c r="N24" s="145"/>
      <c r="O24" s="220"/>
      <c r="P24" s="199"/>
      <c r="Q24" s="200"/>
      <c r="R24" s="164"/>
    </row>
    <row r="25" spans="1:18" ht="12">
      <c r="A25" s="139" t="s">
        <v>66</v>
      </c>
      <c r="B25" s="146">
        <f>C25*0.95</f>
        <v>12034.599999999999</v>
      </c>
      <c r="C25" s="192">
        <v>12668</v>
      </c>
      <c r="D25" s="214">
        <v>1187</v>
      </c>
      <c r="E25" s="143">
        <v>10.7</v>
      </c>
      <c r="F25" s="176">
        <v>0.068</v>
      </c>
      <c r="G25" s="195">
        <v>0.25</v>
      </c>
      <c r="H25" s="215">
        <f>G25*E25</f>
        <v>2.675</v>
      </c>
      <c r="I25" s="216">
        <f>H25*4.5461</f>
        <v>12.160817499999999</v>
      </c>
      <c r="J25" s="217"/>
      <c r="K25" s="218" t="s">
        <v>67</v>
      </c>
      <c r="L25" s="142" t="s">
        <v>68</v>
      </c>
      <c r="M25" s="219">
        <f t="shared" si="0"/>
        <v>10.452815191725845</v>
      </c>
      <c r="N25" s="145">
        <f t="shared" si="1"/>
        <v>0.24689007386557488</v>
      </c>
      <c r="O25" s="220">
        <f t="shared" si="2"/>
        <v>2.5806963147883972</v>
      </c>
      <c r="P25" s="199">
        <v>21.537</v>
      </c>
      <c r="Q25" s="200">
        <v>159.535</v>
      </c>
      <c r="R25" s="164"/>
    </row>
    <row r="26" spans="1:18" ht="12">
      <c r="A26" s="139" t="s">
        <v>69</v>
      </c>
      <c r="B26" s="146">
        <f>C26*0.95</f>
        <v>11482.65</v>
      </c>
      <c r="C26" s="192">
        <v>12087</v>
      </c>
      <c r="D26" s="214">
        <v>1142</v>
      </c>
      <c r="E26" s="143">
        <v>10.6</v>
      </c>
      <c r="F26" s="176">
        <v>0.0709</v>
      </c>
      <c r="G26" s="195">
        <v>0.26</v>
      </c>
      <c r="H26" s="215">
        <f>G26*E26</f>
        <v>2.756</v>
      </c>
      <c r="I26" s="216">
        <f>H26*4.5461</f>
        <v>12.529051599999999</v>
      </c>
      <c r="J26" s="217"/>
      <c r="K26" s="218" t="s">
        <v>70</v>
      </c>
      <c r="L26" s="142" t="s">
        <v>71</v>
      </c>
      <c r="M26" s="219">
        <f t="shared" si="0"/>
        <v>10.73929766862614</v>
      </c>
      <c r="N26" s="145">
        <f t="shared" si="1"/>
        <v>0.249754608461276</v>
      </c>
      <c r="O26" s="220">
        <f t="shared" si="2"/>
        <v>2.682189084376816</v>
      </c>
      <c r="P26" s="199">
        <v>22.384</v>
      </c>
      <c r="Q26" s="200">
        <v>161.386</v>
      </c>
      <c r="R26" s="164"/>
    </row>
    <row r="27" spans="1:18" ht="12">
      <c r="A27" s="139" t="s">
        <v>72</v>
      </c>
      <c r="B27" s="146">
        <f>C27*0.95</f>
        <v>11482.65</v>
      </c>
      <c r="C27" s="192">
        <v>12087</v>
      </c>
      <c r="D27" s="214">
        <v>1031</v>
      </c>
      <c r="E27" s="143">
        <v>11.7</v>
      </c>
      <c r="F27" s="176">
        <v>0.0709</v>
      </c>
      <c r="G27" s="195">
        <v>0.26</v>
      </c>
      <c r="H27" s="215">
        <f>G27*E27</f>
        <v>3.042</v>
      </c>
      <c r="I27" s="216">
        <f>H27*4.5461</f>
        <v>13.829236199999999</v>
      </c>
      <c r="J27" s="146"/>
      <c r="K27" s="218" t="s">
        <v>73</v>
      </c>
      <c r="L27" s="142" t="s">
        <v>74</v>
      </c>
      <c r="M27" s="219">
        <f t="shared" si="0"/>
        <v>11.590807496335714</v>
      </c>
      <c r="N27" s="145">
        <f t="shared" si="1"/>
        <v>0.26913006666666667</v>
      </c>
      <c r="O27" s="220">
        <f t="shared" si="2"/>
        <v>3.1194347942093303</v>
      </c>
      <c r="P27" s="199">
        <v>26.033</v>
      </c>
      <c r="Q27" s="200">
        <v>173.906</v>
      </c>
      <c r="R27" s="164"/>
    </row>
    <row r="28" spans="1:18" ht="12">
      <c r="A28" s="139" t="s">
        <v>75</v>
      </c>
      <c r="B28" s="146"/>
      <c r="C28" s="192"/>
      <c r="D28" s="142"/>
      <c r="E28" s="143"/>
      <c r="F28" s="176">
        <v>0.0927</v>
      </c>
      <c r="G28" s="195">
        <v>0.34</v>
      </c>
      <c r="H28" s="147"/>
      <c r="I28" s="173"/>
      <c r="J28" s="146"/>
      <c r="K28" s="218" t="s">
        <v>76</v>
      </c>
      <c r="L28" s="142" t="s">
        <v>77</v>
      </c>
      <c r="M28" s="219">
        <f t="shared" si="0"/>
        <v>11.142315849885982</v>
      </c>
      <c r="N28" s="145">
        <f t="shared" si="1"/>
        <v>0.34840230876833844</v>
      </c>
      <c r="O28" s="220">
        <f t="shared" si="2"/>
        <v>3.882008567126327</v>
      </c>
      <c r="P28" s="199">
        <v>32.397</v>
      </c>
      <c r="Q28" s="200">
        <v>225.13</v>
      </c>
      <c r="R28" s="164"/>
    </row>
    <row r="29" spans="1:18" ht="12">
      <c r="A29" s="139"/>
      <c r="B29" s="146"/>
      <c r="C29" s="192"/>
      <c r="D29" s="142"/>
      <c r="E29" s="143"/>
      <c r="F29" s="222"/>
      <c r="G29" s="159"/>
      <c r="H29" s="185"/>
      <c r="I29" s="158"/>
      <c r="J29" s="146"/>
      <c r="K29" s="218"/>
      <c r="L29" s="142"/>
      <c r="M29" s="219"/>
      <c r="N29" s="145"/>
      <c r="O29" s="220"/>
      <c r="P29" s="199"/>
      <c r="Q29" s="200"/>
      <c r="R29" s="164"/>
    </row>
    <row r="30" spans="1:18" ht="12">
      <c r="A30" s="221" t="s">
        <v>78</v>
      </c>
      <c r="B30" s="146">
        <f>C30*0.95</f>
        <v>12047.9</v>
      </c>
      <c r="C30" s="192">
        <v>12682</v>
      </c>
      <c r="D30" s="214">
        <v>1192</v>
      </c>
      <c r="E30" s="143">
        <v>10.6</v>
      </c>
      <c r="F30" s="223"/>
      <c r="G30" s="224"/>
      <c r="H30" s="225"/>
      <c r="I30" s="196"/>
      <c r="J30" s="146"/>
      <c r="K30" s="218"/>
      <c r="L30" s="142"/>
      <c r="M30" s="142"/>
      <c r="N30" s="145"/>
      <c r="O30" s="220"/>
      <c r="P30" s="199"/>
      <c r="Q30" s="200"/>
      <c r="R30" s="164"/>
    </row>
    <row r="31" spans="1:18" ht="12">
      <c r="A31" s="221" t="s">
        <v>79</v>
      </c>
      <c r="B31" s="146">
        <f>C31*0.95</f>
        <v>12113.449999999999</v>
      </c>
      <c r="C31" s="192">
        <v>12751</v>
      </c>
      <c r="D31" s="226" t="s">
        <v>35</v>
      </c>
      <c r="E31" s="201" t="s">
        <v>35</v>
      </c>
      <c r="F31" s="180"/>
      <c r="G31" s="166"/>
      <c r="H31" s="227"/>
      <c r="I31" s="228"/>
      <c r="J31" s="146"/>
      <c r="K31" s="138"/>
      <c r="L31" s="142"/>
      <c r="M31" s="142"/>
      <c r="N31" s="145"/>
      <c r="O31" s="229"/>
      <c r="P31" s="146"/>
      <c r="Q31" s="147"/>
      <c r="R31" s="164"/>
    </row>
    <row r="32" spans="1:18" ht="48">
      <c r="A32" s="150" t="s">
        <v>80</v>
      </c>
      <c r="B32" s="230" t="s">
        <v>81</v>
      </c>
      <c r="C32" s="184" t="s">
        <v>21</v>
      </c>
      <c r="D32" s="156" t="s">
        <v>22</v>
      </c>
      <c r="E32" s="208" t="s">
        <v>81</v>
      </c>
      <c r="F32" s="155" t="s">
        <v>14</v>
      </c>
      <c r="G32" s="156" t="s">
        <v>24</v>
      </c>
      <c r="H32" s="157" t="s">
        <v>82</v>
      </c>
      <c r="I32" s="209" t="s">
        <v>83</v>
      </c>
      <c r="J32" s="159"/>
      <c r="K32" s="186" t="s">
        <v>84</v>
      </c>
      <c r="L32" s="151"/>
      <c r="M32" s="231" t="s">
        <v>85</v>
      </c>
      <c r="N32" s="188" t="s">
        <v>30</v>
      </c>
      <c r="O32" s="232" t="s">
        <v>86</v>
      </c>
      <c r="P32" s="189" t="s">
        <v>87</v>
      </c>
      <c r="Q32" s="190" t="s">
        <v>33</v>
      </c>
      <c r="R32" s="164"/>
    </row>
    <row r="33" spans="1:18" ht="12">
      <c r="A33" s="139" t="s">
        <v>88</v>
      </c>
      <c r="B33" s="219">
        <f>E33*0.9</f>
        <v>9.9</v>
      </c>
      <c r="C33" s="233" t="s">
        <v>35</v>
      </c>
      <c r="D33" s="193" t="s">
        <v>35</v>
      </c>
      <c r="E33" s="143">
        <v>11</v>
      </c>
      <c r="F33" s="176">
        <v>0.0518</v>
      </c>
      <c r="G33" s="195">
        <v>0.19</v>
      </c>
      <c r="H33" s="234">
        <f>G33*E33</f>
        <v>2.09</v>
      </c>
      <c r="I33" s="196">
        <f>H33*100/35.31</f>
        <v>5.919003115264797</v>
      </c>
      <c r="J33" s="229"/>
      <c r="K33" s="138" t="s">
        <v>89</v>
      </c>
      <c r="L33" s="142" t="s">
        <v>90</v>
      </c>
      <c r="M33" s="197">
        <f>O33/N33</f>
        <v>10.660116597806512</v>
      </c>
      <c r="N33" s="145">
        <f>Q33*$L$60</f>
        <v>0.18118839031047423</v>
      </c>
      <c r="O33" s="220">
        <f>P33*$L$68</f>
        <v>1.931489366878531</v>
      </c>
      <c r="P33" s="199">
        <v>120.593</v>
      </c>
      <c r="Q33" s="200">
        <v>117.08</v>
      </c>
      <c r="R33" s="164"/>
    </row>
    <row r="34" spans="1:18" ht="12">
      <c r="A34" s="139" t="s">
        <v>91</v>
      </c>
      <c r="B34" s="197"/>
      <c r="C34" s="233"/>
      <c r="D34" s="193"/>
      <c r="E34" s="143"/>
      <c r="F34" s="176">
        <v>0.0545</v>
      </c>
      <c r="G34" s="195">
        <v>0.2</v>
      </c>
      <c r="H34" s="147"/>
      <c r="I34" s="173"/>
      <c r="J34" s="146"/>
      <c r="K34" s="138" t="s">
        <v>92</v>
      </c>
      <c r="L34" s="142" t="s">
        <v>93</v>
      </c>
      <c r="M34" s="197">
        <f>O34/N34</f>
        <v>11.467341825014925</v>
      </c>
      <c r="N34" s="145">
        <f>Q34*$L$60</f>
        <v>0.1868230583077448</v>
      </c>
      <c r="O34" s="220">
        <f>P34*$L$68</f>
        <v>2.142363870409604</v>
      </c>
      <c r="P34" s="199">
        <v>133.759</v>
      </c>
      <c r="Q34" s="200">
        <v>120.721</v>
      </c>
      <c r="R34" s="164"/>
    </row>
    <row r="35" spans="1:18" ht="12">
      <c r="A35" s="139" t="s">
        <v>94</v>
      </c>
      <c r="B35" s="219">
        <f>E35*0.9</f>
        <v>4.5</v>
      </c>
      <c r="C35" s="233" t="s">
        <v>35</v>
      </c>
      <c r="D35" s="193" t="s">
        <v>35</v>
      </c>
      <c r="E35" s="143">
        <v>5</v>
      </c>
      <c r="F35" s="138"/>
      <c r="G35" s="142"/>
      <c r="H35" s="143"/>
      <c r="I35" s="144"/>
      <c r="J35" s="142"/>
      <c r="K35" s="138" t="s">
        <v>95</v>
      </c>
      <c r="L35" s="142" t="s">
        <v>96</v>
      </c>
      <c r="M35" s="197">
        <f>O35/N35</f>
        <v>10.449966927550307</v>
      </c>
      <c r="N35" s="145">
        <f>Q35*$L$60</f>
        <v>0.17836873497099964</v>
      </c>
      <c r="O35" s="220">
        <f>P35*$L$68</f>
        <v>1.8639473813559322</v>
      </c>
      <c r="P35" s="199">
        <v>116.376</v>
      </c>
      <c r="Q35" s="200">
        <v>115.258</v>
      </c>
      <c r="R35" s="164"/>
    </row>
    <row r="36" spans="1:18" ht="12">
      <c r="A36" s="139" t="s">
        <v>97</v>
      </c>
      <c r="B36" s="235" t="s">
        <v>98</v>
      </c>
      <c r="C36" s="233" t="s">
        <v>35</v>
      </c>
      <c r="D36" s="193" t="s">
        <v>35</v>
      </c>
      <c r="E36" s="236" t="s">
        <v>99</v>
      </c>
      <c r="F36" s="138"/>
      <c r="G36" s="142"/>
      <c r="H36" s="143"/>
      <c r="I36" s="237"/>
      <c r="J36" s="142"/>
      <c r="K36" s="138" t="s">
        <v>100</v>
      </c>
      <c r="L36" s="142" t="s">
        <v>101</v>
      </c>
      <c r="M36" s="142"/>
      <c r="N36" s="145">
        <f>Q36*$L$60</f>
        <v>0.17836873497099964</v>
      </c>
      <c r="O36" s="198"/>
      <c r="P36" s="199"/>
      <c r="Q36" s="200">
        <v>115.258</v>
      </c>
      <c r="R36" s="238"/>
    </row>
    <row r="37" spans="1:18" ht="12">
      <c r="A37" s="139" t="s">
        <v>102</v>
      </c>
      <c r="B37" s="235" t="s">
        <v>98</v>
      </c>
      <c r="C37" s="233" t="s">
        <v>35</v>
      </c>
      <c r="D37" s="193" t="s">
        <v>35</v>
      </c>
      <c r="E37" s="236" t="s">
        <v>99</v>
      </c>
      <c r="F37" s="138"/>
      <c r="G37" s="142"/>
      <c r="H37" s="143"/>
      <c r="I37" s="144"/>
      <c r="J37" s="142"/>
      <c r="K37" s="138" t="s">
        <v>103</v>
      </c>
      <c r="L37" s="142" t="s">
        <v>103</v>
      </c>
      <c r="M37" s="142"/>
      <c r="N37" s="145"/>
      <c r="O37" s="146"/>
      <c r="P37" s="146"/>
      <c r="Q37" s="147"/>
      <c r="R37" s="238"/>
    </row>
    <row r="38" spans="1:18" ht="12">
      <c r="A38" s="139" t="s">
        <v>104</v>
      </c>
      <c r="B38" s="219">
        <f>E38*0.9</f>
        <v>0.747</v>
      </c>
      <c r="C38" s="233" t="s">
        <v>35</v>
      </c>
      <c r="D38" s="193" t="s">
        <v>35</v>
      </c>
      <c r="E38" s="236">
        <v>0.83</v>
      </c>
      <c r="F38" s="138"/>
      <c r="G38" s="142"/>
      <c r="H38" s="143"/>
      <c r="I38" s="144"/>
      <c r="J38" s="142"/>
      <c r="K38" s="138"/>
      <c r="L38" s="142"/>
      <c r="M38" s="142"/>
      <c r="N38" s="145"/>
      <c r="O38" s="146"/>
      <c r="P38" s="146"/>
      <c r="Q38" s="147"/>
      <c r="R38" s="238"/>
    </row>
    <row r="39" spans="1:18" ht="12">
      <c r="A39" s="139"/>
      <c r="B39" s="197"/>
      <c r="C39" s="233"/>
      <c r="D39" s="193"/>
      <c r="E39" s="143"/>
      <c r="F39" s="180"/>
      <c r="G39" s="166"/>
      <c r="H39" s="227"/>
      <c r="I39" s="228"/>
      <c r="J39" s="142"/>
      <c r="K39" s="180"/>
      <c r="L39" s="166"/>
      <c r="M39" s="166"/>
      <c r="N39" s="181"/>
      <c r="O39" s="182"/>
      <c r="P39" s="182"/>
      <c r="Q39" s="172"/>
      <c r="R39" s="238"/>
    </row>
    <row r="40" spans="1:18" ht="36">
      <c r="A40" s="150" t="s">
        <v>105</v>
      </c>
      <c r="B40" s="156" t="s">
        <v>106</v>
      </c>
      <c r="C40" s="184" t="s">
        <v>21</v>
      </c>
      <c r="D40" s="156" t="s">
        <v>22</v>
      </c>
      <c r="E40" s="208" t="s">
        <v>81</v>
      </c>
      <c r="F40" s="222" t="s">
        <v>14</v>
      </c>
      <c r="G40" s="159" t="s">
        <v>24</v>
      </c>
      <c r="H40" s="185" t="s">
        <v>31</v>
      </c>
      <c r="I40" s="158" t="s">
        <v>577</v>
      </c>
      <c r="J40" s="159"/>
      <c r="K40" s="210" t="s">
        <v>578</v>
      </c>
      <c r="L40" s="142"/>
      <c r="M40" s="231" t="s">
        <v>29</v>
      </c>
      <c r="N40" s="211" t="s">
        <v>30</v>
      </c>
      <c r="O40" s="212" t="s">
        <v>31</v>
      </c>
      <c r="P40" s="212" t="s">
        <v>32</v>
      </c>
      <c r="Q40" s="213" t="s">
        <v>33</v>
      </c>
      <c r="R40" s="238"/>
    </row>
    <row r="41" spans="1:18" ht="12">
      <c r="A41" s="139" t="s">
        <v>579</v>
      </c>
      <c r="B41" s="146">
        <f>C41*0.5</f>
        <v>1389</v>
      </c>
      <c r="C41" s="192">
        <v>2778</v>
      </c>
      <c r="D41" s="193" t="s">
        <v>35</v>
      </c>
      <c r="E41" s="201" t="s">
        <v>35</v>
      </c>
      <c r="F41" s="138"/>
      <c r="G41" s="142"/>
      <c r="H41" s="215">
        <v>1730.0304</v>
      </c>
      <c r="I41" s="216">
        <f>H41/1000</f>
        <v>1.7300304000000002</v>
      </c>
      <c r="J41" s="142"/>
      <c r="K41" s="138" t="s">
        <v>580</v>
      </c>
      <c r="L41" s="142" t="s">
        <v>581</v>
      </c>
      <c r="M41" s="142"/>
      <c r="N41" s="145">
        <f>Q41*$L$60</f>
        <v>0</v>
      </c>
      <c r="O41" s="198">
        <f>P41*$L$56</f>
        <v>1906.9579585537917</v>
      </c>
      <c r="P41" s="199">
        <v>3814</v>
      </c>
      <c r="Q41" s="239"/>
      <c r="R41" s="238"/>
    </row>
    <row r="42" spans="1:18" ht="12">
      <c r="A42" s="139" t="s">
        <v>582</v>
      </c>
      <c r="B42" s="146">
        <f>C42*0.84</f>
        <v>2777.04</v>
      </c>
      <c r="C42" s="192">
        <v>3306</v>
      </c>
      <c r="D42" s="193" t="s">
        <v>35</v>
      </c>
      <c r="E42" s="201" t="s">
        <v>35</v>
      </c>
      <c r="F42" s="138"/>
      <c r="G42" s="142"/>
      <c r="H42" s="143"/>
      <c r="I42" s="144"/>
      <c r="J42" s="142"/>
      <c r="K42" s="138"/>
      <c r="L42" s="142"/>
      <c r="M42" s="142"/>
      <c r="N42" s="145"/>
      <c r="O42" s="198"/>
      <c r="P42" s="199"/>
      <c r="Q42" s="239"/>
      <c r="R42" s="238"/>
    </row>
    <row r="43" spans="1:18" ht="12">
      <c r="A43" s="139" t="s">
        <v>583</v>
      </c>
      <c r="B43" s="146"/>
      <c r="C43" s="192">
        <v>8890</v>
      </c>
      <c r="D43" s="193" t="s">
        <v>35</v>
      </c>
      <c r="E43" s="201" t="s">
        <v>35</v>
      </c>
      <c r="F43" s="138"/>
      <c r="G43" s="142"/>
      <c r="H43" s="215">
        <v>2794.176</v>
      </c>
      <c r="I43" s="216">
        <f>H43/1000</f>
        <v>2.7941759999999998</v>
      </c>
      <c r="J43" s="142"/>
      <c r="K43" s="138" t="s">
        <v>584</v>
      </c>
      <c r="L43" s="142" t="s">
        <v>585</v>
      </c>
      <c r="M43" s="146">
        <f>O43/N43</f>
        <v>10500.190912562046</v>
      </c>
      <c r="N43" s="145">
        <f>Q43*$L$60</f>
        <v>0.29332153333333333</v>
      </c>
      <c r="O43" s="198">
        <f>P43*$L$56</f>
        <v>3079.932098765432</v>
      </c>
      <c r="P43" s="199">
        <v>6160</v>
      </c>
      <c r="Q43" s="239">
        <v>189.538</v>
      </c>
      <c r="R43" s="238"/>
    </row>
    <row r="44" spans="1:18" ht="12">
      <c r="A44" s="139" t="s">
        <v>586</v>
      </c>
      <c r="B44" s="146">
        <f>C44*0.7</f>
        <v>1847.3</v>
      </c>
      <c r="C44" s="192">
        <v>2639</v>
      </c>
      <c r="D44" s="193" t="s">
        <v>35</v>
      </c>
      <c r="E44" s="201" t="s">
        <v>35</v>
      </c>
      <c r="F44" s="138"/>
      <c r="G44" s="142"/>
      <c r="H44" s="215">
        <v>906.7464</v>
      </c>
      <c r="I44" s="216">
        <f>H44/1000</f>
        <v>0.9067464</v>
      </c>
      <c r="J44" s="142"/>
      <c r="K44" s="138" t="s">
        <v>587</v>
      </c>
      <c r="L44" s="142" t="s">
        <v>588</v>
      </c>
      <c r="M44" s="146">
        <f>O44/N44</f>
        <v>3231.5637372954207</v>
      </c>
      <c r="N44" s="145">
        <f>Q44*$L$60</f>
        <v>0.3092861680655067</v>
      </c>
      <c r="O44" s="198">
        <f>P44*$L$56</f>
        <v>999.4779651675484</v>
      </c>
      <c r="P44" s="199">
        <v>1999</v>
      </c>
      <c r="Q44" s="239">
        <v>199.854</v>
      </c>
      <c r="R44" s="238"/>
    </row>
    <row r="45" spans="1:18" ht="12">
      <c r="A45" s="139" t="s">
        <v>589</v>
      </c>
      <c r="B45" s="146">
        <f>C45*0.7</f>
        <v>3597.2999999999997</v>
      </c>
      <c r="C45" s="192">
        <v>5139</v>
      </c>
      <c r="D45" s="193" t="s">
        <v>35</v>
      </c>
      <c r="E45" s="201" t="s">
        <v>35</v>
      </c>
      <c r="F45" s="138"/>
      <c r="G45" s="142"/>
      <c r="H45" s="215"/>
      <c r="I45" s="216"/>
      <c r="J45" s="142"/>
      <c r="K45" s="138"/>
      <c r="L45" s="142"/>
      <c r="M45" s="142"/>
      <c r="N45" s="145"/>
      <c r="O45" s="198"/>
      <c r="P45" s="199"/>
      <c r="Q45" s="239"/>
      <c r="R45" s="238"/>
    </row>
    <row r="46" spans="1:18" ht="12">
      <c r="A46" s="139" t="s">
        <v>590</v>
      </c>
      <c r="B46" s="146">
        <f>C46*0.85</f>
        <v>3541.95</v>
      </c>
      <c r="C46" s="192">
        <v>4167</v>
      </c>
      <c r="D46" s="193" t="s">
        <v>35</v>
      </c>
      <c r="E46" s="201" t="s">
        <v>35</v>
      </c>
      <c r="F46" s="138"/>
      <c r="G46" s="142"/>
      <c r="H46" s="215"/>
      <c r="I46" s="216"/>
      <c r="J46" s="142"/>
      <c r="K46" s="138"/>
      <c r="L46" s="142"/>
      <c r="M46" s="142"/>
      <c r="N46" s="145"/>
      <c r="O46" s="146"/>
      <c r="P46" s="146"/>
      <c r="Q46" s="147"/>
      <c r="R46" s="238"/>
    </row>
    <row r="47" spans="1:18" ht="12">
      <c r="A47" s="139" t="s">
        <v>591</v>
      </c>
      <c r="B47" s="146">
        <f>C47*0.84</f>
        <v>2053.7999999999997</v>
      </c>
      <c r="C47" s="192">
        <v>2445</v>
      </c>
      <c r="D47" s="193" t="s">
        <v>35</v>
      </c>
      <c r="E47" s="201" t="s">
        <v>35</v>
      </c>
      <c r="F47" s="138"/>
      <c r="G47" s="142"/>
      <c r="H47" s="215"/>
      <c r="I47" s="216"/>
      <c r="J47" s="142"/>
      <c r="K47" s="138"/>
      <c r="L47" s="142"/>
      <c r="M47" s="142"/>
      <c r="N47" s="145"/>
      <c r="O47" s="146"/>
      <c r="P47" s="146"/>
      <c r="Q47" s="147"/>
      <c r="R47" s="238"/>
    </row>
    <row r="48" spans="1:18" ht="12">
      <c r="A48" s="139" t="s">
        <v>592</v>
      </c>
      <c r="B48" s="146">
        <f>C48*0.95</f>
        <v>4222.75</v>
      </c>
      <c r="C48" s="192">
        <v>4445</v>
      </c>
      <c r="D48" s="193" t="s">
        <v>35</v>
      </c>
      <c r="E48" s="201" t="s">
        <v>35</v>
      </c>
      <c r="F48" s="138"/>
      <c r="G48" s="142"/>
      <c r="H48" s="215"/>
      <c r="I48" s="216"/>
      <c r="J48" s="142"/>
      <c r="K48" s="138"/>
      <c r="L48" s="142"/>
      <c r="M48" s="142"/>
      <c r="N48" s="145"/>
      <c r="O48" s="146"/>
      <c r="P48" s="146"/>
      <c r="Q48" s="147"/>
      <c r="R48" s="238"/>
    </row>
    <row r="49" spans="1:18" ht="12">
      <c r="A49" s="139" t="s">
        <v>593</v>
      </c>
      <c r="B49" s="146">
        <f>C49*0.95</f>
        <v>3694.5499999999997</v>
      </c>
      <c r="C49" s="192">
        <v>3889</v>
      </c>
      <c r="D49" s="193" t="s">
        <v>35</v>
      </c>
      <c r="E49" s="201" t="s">
        <v>35</v>
      </c>
      <c r="F49" s="138"/>
      <c r="G49" s="142"/>
      <c r="H49" s="215"/>
      <c r="I49" s="216"/>
      <c r="J49" s="142"/>
      <c r="K49" s="138"/>
      <c r="L49" s="142"/>
      <c r="M49" s="142"/>
      <c r="N49" s="145"/>
      <c r="O49" s="146"/>
      <c r="P49" s="146"/>
      <c r="Q49" s="147"/>
      <c r="R49" s="238"/>
    </row>
    <row r="50" spans="1:18" ht="12">
      <c r="A50" s="139"/>
      <c r="B50" s="229"/>
      <c r="C50" s="192"/>
      <c r="D50" s="193"/>
      <c r="E50" s="201"/>
      <c r="F50" s="138"/>
      <c r="G50" s="142"/>
      <c r="H50" s="215"/>
      <c r="I50" s="216"/>
      <c r="J50" s="142"/>
      <c r="K50" s="138"/>
      <c r="L50" s="142"/>
      <c r="M50" s="142"/>
      <c r="N50" s="145"/>
      <c r="O50" s="146"/>
      <c r="P50" s="146"/>
      <c r="Q50" s="147"/>
      <c r="R50" s="238"/>
    </row>
    <row r="51" spans="1:18" ht="12">
      <c r="A51" s="240"/>
      <c r="B51" s="241"/>
      <c r="C51" s="242"/>
      <c r="D51" s="243"/>
      <c r="E51" s="244"/>
      <c r="F51" s="245"/>
      <c r="G51" s="246"/>
      <c r="H51" s="247"/>
      <c r="I51" s="248"/>
      <c r="J51" s="142"/>
      <c r="K51" s="245"/>
      <c r="L51" s="246"/>
      <c r="M51" s="246"/>
      <c r="N51" s="249"/>
      <c r="O51" s="250"/>
      <c r="P51" s="250"/>
      <c r="Q51" s="251"/>
      <c r="R51" s="138"/>
    </row>
    <row r="52" spans="1:18" ht="12">
      <c r="A52" s="217"/>
      <c r="B52" s="142"/>
      <c r="C52" s="142"/>
      <c r="D52" s="125"/>
      <c r="E52" s="125"/>
      <c r="F52" s="125"/>
      <c r="G52" s="125"/>
      <c r="H52" s="142"/>
      <c r="I52" s="252"/>
      <c r="J52" s="125"/>
      <c r="K52" s="125"/>
      <c r="L52" s="125"/>
      <c r="M52" s="125"/>
      <c r="N52" s="253"/>
      <c r="O52" s="146"/>
      <c r="P52" s="146"/>
      <c r="Q52" s="146"/>
      <c r="R52" s="125"/>
    </row>
    <row r="53" spans="1:18" ht="12">
      <c r="A53" s="217"/>
      <c r="B53" s="142"/>
      <c r="C53" s="142"/>
      <c r="D53" s="125"/>
      <c r="E53" s="125"/>
      <c r="F53" s="125"/>
      <c r="G53" s="125"/>
      <c r="H53" s="142"/>
      <c r="I53" s="252"/>
      <c r="J53" s="125"/>
      <c r="K53" s="125"/>
      <c r="L53" s="125"/>
      <c r="M53" s="125"/>
      <c r="N53" s="253"/>
      <c r="O53" s="146"/>
      <c r="P53" s="146"/>
      <c r="Q53" s="146"/>
      <c r="R53" s="125"/>
    </row>
    <row r="54" spans="1:18" ht="12">
      <c r="A54" s="254" t="s">
        <v>594</v>
      </c>
      <c r="B54" s="255" t="s">
        <v>595</v>
      </c>
      <c r="C54" s="255" t="s">
        <v>596</v>
      </c>
      <c r="D54" s="255" t="s">
        <v>597</v>
      </c>
      <c r="E54" s="255" t="s">
        <v>598</v>
      </c>
      <c r="F54" s="255" t="s">
        <v>599</v>
      </c>
      <c r="G54" s="256" t="s">
        <v>600</v>
      </c>
      <c r="H54" s="142"/>
      <c r="I54" s="252"/>
      <c r="J54" s="257"/>
      <c r="K54" s="258" t="s">
        <v>601</v>
      </c>
      <c r="L54" s="259">
        <v>0.45359</v>
      </c>
      <c r="M54" s="260" t="s">
        <v>602</v>
      </c>
      <c r="N54" s="253"/>
      <c r="O54" s="146"/>
      <c r="P54" s="146"/>
      <c r="Q54" s="146"/>
      <c r="R54" s="125"/>
    </row>
    <row r="55" spans="1:18" ht="12">
      <c r="A55" s="261" t="s">
        <v>603</v>
      </c>
      <c r="B55" s="142"/>
      <c r="C55" s="142"/>
      <c r="D55" s="142"/>
      <c r="E55" s="142"/>
      <c r="F55" s="142"/>
      <c r="G55" s="262"/>
      <c r="H55" s="142"/>
      <c r="I55" s="252"/>
      <c r="J55" s="142"/>
      <c r="K55" s="263" t="s">
        <v>604</v>
      </c>
      <c r="L55" s="229">
        <v>0.9072</v>
      </c>
      <c r="M55" s="264" t="s">
        <v>605</v>
      </c>
      <c r="N55" s="253"/>
      <c r="O55" s="146"/>
      <c r="P55" s="146"/>
      <c r="Q55" s="146"/>
      <c r="R55" s="125"/>
    </row>
    <row r="56" spans="1:18" ht="12">
      <c r="A56" s="261" t="s">
        <v>595</v>
      </c>
      <c r="B56" s="142">
        <v>1</v>
      </c>
      <c r="C56" s="142">
        <v>29.31</v>
      </c>
      <c r="D56" s="214">
        <v>100000</v>
      </c>
      <c r="E56" s="142">
        <v>105.5</v>
      </c>
      <c r="F56" s="265">
        <v>0.00252</v>
      </c>
      <c r="G56" s="266">
        <v>25000</v>
      </c>
      <c r="H56" s="142"/>
      <c r="I56" s="252"/>
      <c r="J56" s="265"/>
      <c r="K56" s="267" t="s">
        <v>606</v>
      </c>
      <c r="L56" s="268">
        <f>L54/L55</f>
        <v>0.4999889770723104</v>
      </c>
      <c r="M56" s="269" t="s">
        <v>607</v>
      </c>
      <c r="N56" s="253"/>
      <c r="O56" s="146"/>
      <c r="P56" s="146"/>
      <c r="Q56" s="146"/>
      <c r="R56" s="125"/>
    </row>
    <row r="57" spans="1:18" ht="12">
      <c r="A57" s="261" t="s">
        <v>596</v>
      </c>
      <c r="B57" s="142">
        <v>0.03412</v>
      </c>
      <c r="C57" s="142">
        <v>1</v>
      </c>
      <c r="D57" s="142">
        <v>3412</v>
      </c>
      <c r="E57" s="142">
        <v>3.6</v>
      </c>
      <c r="F57" s="265">
        <v>8.598E-05</v>
      </c>
      <c r="G57" s="262">
        <v>859.7</v>
      </c>
      <c r="H57" s="142"/>
      <c r="I57" s="252"/>
      <c r="J57" s="142"/>
      <c r="K57" s="217"/>
      <c r="L57" s="146"/>
      <c r="M57" s="253"/>
      <c r="N57" s="253"/>
      <c r="O57" s="146"/>
      <c r="P57" s="146"/>
      <c r="Q57" s="146"/>
      <c r="R57" s="125"/>
    </row>
    <row r="58" spans="1:18" ht="12">
      <c r="A58" s="261" t="s">
        <v>597</v>
      </c>
      <c r="B58" s="265">
        <v>1E-05</v>
      </c>
      <c r="C58" s="270">
        <v>0.0002931</v>
      </c>
      <c r="D58" s="142">
        <v>1</v>
      </c>
      <c r="E58" s="265">
        <v>0.001055</v>
      </c>
      <c r="F58" s="265">
        <v>2.52E-08</v>
      </c>
      <c r="G58" s="262">
        <v>0.252</v>
      </c>
      <c r="H58" s="142"/>
      <c r="I58" s="252"/>
      <c r="J58" s="142"/>
      <c r="K58" s="271" t="s">
        <v>601</v>
      </c>
      <c r="L58" s="259">
        <v>0.45359</v>
      </c>
      <c r="M58" s="260" t="s">
        <v>602</v>
      </c>
      <c r="N58" s="253"/>
      <c r="O58" s="146"/>
      <c r="P58" s="146"/>
      <c r="Q58" s="146"/>
      <c r="R58" s="125"/>
    </row>
    <row r="59" spans="1:18" ht="12">
      <c r="A59" s="261" t="s">
        <v>598</v>
      </c>
      <c r="B59" s="265">
        <v>0.009478</v>
      </c>
      <c r="C59" s="142">
        <v>0.2778</v>
      </c>
      <c r="D59" s="142">
        <v>947.8</v>
      </c>
      <c r="E59" s="142">
        <v>1</v>
      </c>
      <c r="F59" s="265">
        <v>2.388E-05</v>
      </c>
      <c r="G59" s="262">
        <v>238.8</v>
      </c>
      <c r="H59" s="142"/>
      <c r="I59" s="252"/>
      <c r="J59" s="142"/>
      <c r="K59" s="177" t="s">
        <v>608</v>
      </c>
      <c r="L59" s="146">
        <v>293.1</v>
      </c>
      <c r="M59" s="264" t="s">
        <v>596</v>
      </c>
      <c r="N59" s="253"/>
      <c r="O59" s="146"/>
      <c r="P59" s="146"/>
      <c r="Q59" s="146"/>
      <c r="R59" s="125"/>
    </row>
    <row r="60" spans="1:18" ht="12">
      <c r="A60" s="261" t="s">
        <v>599</v>
      </c>
      <c r="B60" s="142">
        <v>396.8</v>
      </c>
      <c r="C60" s="214">
        <v>11630</v>
      </c>
      <c r="D60" s="265">
        <v>39680000</v>
      </c>
      <c r="E60" s="214">
        <v>41870</v>
      </c>
      <c r="F60" s="142">
        <v>1</v>
      </c>
      <c r="G60" s="266">
        <v>10000000</v>
      </c>
      <c r="H60" s="142"/>
      <c r="I60" s="252"/>
      <c r="J60" s="265"/>
      <c r="K60" s="272" t="s">
        <v>609</v>
      </c>
      <c r="L60" s="268">
        <f>L58/L59</f>
        <v>0.0015475605595359945</v>
      </c>
      <c r="M60" s="269" t="s">
        <v>610</v>
      </c>
      <c r="N60" s="253"/>
      <c r="O60" s="146"/>
      <c r="P60" s="146"/>
      <c r="Q60" s="146"/>
      <c r="R60" s="125"/>
    </row>
    <row r="61" spans="1:18" ht="12">
      <c r="A61" s="273" t="s">
        <v>600</v>
      </c>
      <c r="B61" s="274">
        <v>4E-05</v>
      </c>
      <c r="C61" s="275">
        <v>0.001163</v>
      </c>
      <c r="D61" s="166">
        <v>3.968</v>
      </c>
      <c r="E61" s="274">
        <v>0.00418</v>
      </c>
      <c r="F61" s="274">
        <f>1/G60</f>
        <v>1E-07</v>
      </c>
      <c r="G61" s="276">
        <v>1</v>
      </c>
      <c r="H61" s="142"/>
      <c r="I61" s="252"/>
      <c r="J61" s="142"/>
      <c r="K61" s="125"/>
      <c r="L61" s="229"/>
      <c r="M61" s="253"/>
      <c r="N61" s="253"/>
      <c r="O61" s="146"/>
      <c r="P61" s="146"/>
      <c r="Q61" s="146"/>
      <c r="R61" s="125"/>
    </row>
    <row r="62" spans="1:18" ht="12">
      <c r="A62" s="217"/>
      <c r="B62" s="142"/>
      <c r="C62" s="142"/>
      <c r="D62" s="125"/>
      <c r="E62" s="125"/>
      <c r="F62" s="125"/>
      <c r="G62" s="125"/>
      <c r="H62" s="142"/>
      <c r="I62" s="252"/>
      <c r="J62" s="125"/>
      <c r="K62" s="277" t="s">
        <v>601</v>
      </c>
      <c r="L62" s="278">
        <v>0.45359</v>
      </c>
      <c r="M62" s="279" t="s">
        <v>602</v>
      </c>
      <c r="N62" s="253"/>
      <c r="O62" s="125"/>
      <c r="P62" s="146"/>
      <c r="Q62" s="146"/>
      <c r="R62" s="125"/>
    </row>
    <row r="63" spans="1:18" ht="12">
      <c r="A63" s="217"/>
      <c r="B63" s="142"/>
      <c r="C63" s="142"/>
      <c r="D63" s="125"/>
      <c r="E63" s="125"/>
      <c r="F63" s="125"/>
      <c r="G63" s="125"/>
      <c r="H63" s="142"/>
      <c r="I63" s="252"/>
      <c r="J63" s="125"/>
      <c r="K63" s="280" t="s">
        <v>611</v>
      </c>
      <c r="L63" s="229">
        <v>3.7854</v>
      </c>
      <c r="M63" s="281" t="s">
        <v>612</v>
      </c>
      <c r="N63" s="253"/>
      <c r="O63" s="125"/>
      <c r="P63" s="146"/>
      <c r="Q63" s="146"/>
      <c r="R63" s="125"/>
    </row>
    <row r="64" spans="1:18" ht="12">
      <c r="A64" s="217"/>
      <c r="B64" s="142"/>
      <c r="C64" s="142"/>
      <c r="D64" s="125"/>
      <c r="E64" s="125"/>
      <c r="F64" s="125"/>
      <c r="G64" s="125"/>
      <c r="H64" s="142"/>
      <c r="I64" s="252"/>
      <c r="J64" s="125"/>
      <c r="K64" s="282" t="s">
        <v>613</v>
      </c>
      <c r="L64" s="268">
        <f>L62/L63</f>
        <v>0.11982617424842816</v>
      </c>
      <c r="M64" s="283" t="s">
        <v>614</v>
      </c>
      <c r="N64" s="253"/>
      <c r="O64" s="146"/>
      <c r="P64" s="146"/>
      <c r="Q64" s="146"/>
      <c r="R64" s="125"/>
    </row>
    <row r="65" spans="1:18" ht="12">
      <c r="A65" s="217"/>
      <c r="B65" s="142"/>
      <c r="C65" s="142"/>
      <c r="D65" s="125"/>
      <c r="E65" s="125"/>
      <c r="F65" s="125"/>
      <c r="G65" s="125"/>
      <c r="H65" s="142"/>
      <c r="I65" s="252"/>
      <c r="J65" s="125"/>
      <c r="K65" s="146"/>
      <c r="L65" s="229"/>
      <c r="M65" s="146"/>
      <c r="N65" s="253"/>
      <c r="O65" s="146"/>
      <c r="P65" s="146"/>
      <c r="Q65" s="146"/>
      <c r="R65" s="125"/>
    </row>
    <row r="66" spans="1:18" ht="12">
      <c r="A66" s="217"/>
      <c r="B66" s="142"/>
      <c r="C66" s="142"/>
      <c r="D66" s="125"/>
      <c r="E66" s="125"/>
      <c r="F66" s="125"/>
      <c r="G66" s="125"/>
      <c r="H66" s="142"/>
      <c r="I66" s="252"/>
      <c r="J66" s="125"/>
      <c r="K66" s="277" t="s">
        <v>601</v>
      </c>
      <c r="L66" s="259">
        <v>0.45359</v>
      </c>
      <c r="M66" s="279" t="s">
        <v>602</v>
      </c>
      <c r="N66" s="253"/>
      <c r="O66" s="146"/>
      <c r="P66" s="146"/>
      <c r="Q66" s="146"/>
      <c r="R66" s="125"/>
    </row>
    <row r="67" spans="1:18" ht="12">
      <c r="A67" s="217"/>
      <c r="B67" s="142"/>
      <c r="C67" s="142"/>
      <c r="D67" s="125"/>
      <c r="E67" s="125"/>
      <c r="F67" s="125"/>
      <c r="G67" s="125"/>
      <c r="H67" s="142"/>
      <c r="I67" s="252"/>
      <c r="J67" s="125"/>
      <c r="K67" s="280" t="s">
        <v>615</v>
      </c>
      <c r="L67" s="284">
        <v>28.32</v>
      </c>
      <c r="M67" s="281" t="s">
        <v>616</v>
      </c>
      <c r="N67" s="253"/>
      <c r="O67" s="146"/>
      <c r="P67" s="146"/>
      <c r="Q67" s="146"/>
      <c r="R67" s="125"/>
    </row>
    <row r="68" spans="1:18" ht="12">
      <c r="A68" s="217"/>
      <c r="B68" s="142"/>
      <c r="C68" s="142"/>
      <c r="D68" s="125"/>
      <c r="E68" s="125"/>
      <c r="F68" s="125"/>
      <c r="G68" s="125"/>
      <c r="H68" s="142"/>
      <c r="I68" s="252"/>
      <c r="J68" s="125"/>
      <c r="K68" s="282" t="s">
        <v>617</v>
      </c>
      <c r="L68" s="268">
        <f>L66/L67</f>
        <v>0.01601659604519774</v>
      </c>
      <c r="M68" s="283" t="s">
        <v>618</v>
      </c>
      <c r="N68" s="253"/>
      <c r="O68" s="146"/>
      <c r="P68" s="146"/>
      <c r="Q68" s="146"/>
      <c r="R68" s="125"/>
    </row>
    <row r="69" spans="1:18" ht="12">
      <c r="A69" s="217"/>
      <c r="B69" s="142"/>
      <c r="C69" s="142"/>
      <c r="D69" s="125"/>
      <c r="E69" s="125"/>
      <c r="F69" s="125"/>
      <c r="G69" s="125"/>
      <c r="H69" s="142"/>
      <c r="I69" s="252"/>
      <c r="J69" s="125"/>
      <c r="K69" s="125"/>
      <c r="L69" s="125"/>
      <c r="M69" s="125"/>
      <c r="N69" s="253"/>
      <c r="O69" s="146"/>
      <c r="P69" s="146"/>
      <c r="Q69" s="146"/>
      <c r="R69" s="125"/>
    </row>
    <row r="70" spans="1:18" ht="12">
      <c r="A70" s="217"/>
      <c r="B70" s="142"/>
      <c r="C70" s="142"/>
      <c r="D70" s="125"/>
      <c r="E70" s="125"/>
      <c r="F70" s="125"/>
      <c r="G70" s="125"/>
      <c r="H70" s="142"/>
      <c r="I70" s="252"/>
      <c r="J70" s="125"/>
      <c r="K70" s="285" t="s">
        <v>619</v>
      </c>
      <c r="L70" s="286">
        <v>4.5461</v>
      </c>
      <c r="M70" s="287" t="s">
        <v>612</v>
      </c>
      <c r="N70" s="253"/>
      <c r="O70" s="146"/>
      <c r="P70" s="146"/>
      <c r="Q70" s="146"/>
      <c r="R70" s="125"/>
    </row>
    <row r="71" spans="1:18" ht="12">
      <c r="A71" s="217"/>
      <c r="B71" s="142"/>
      <c r="C71" s="142"/>
      <c r="D71" s="125"/>
      <c r="E71" s="125"/>
      <c r="F71" s="125"/>
      <c r="G71" s="125"/>
      <c r="H71" s="142"/>
      <c r="I71" s="252"/>
      <c r="J71" s="125"/>
      <c r="K71" s="125"/>
      <c r="L71" s="125"/>
      <c r="M71" s="125"/>
      <c r="N71" s="253"/>
      <c r="O71" s="146"/>
      <c r="P71" s="146"/>
      <c r="Q71" s="146"/>
      <c r="R71" s="125"/>
    </row>
    <row r="72" spans="1:18" ht="12">
      <c r="A72" s="217"/>
      <c r="B72" s="142"/>
      <c r="C72" s="142"/>
      <c r="D72" s="125"/>
      <c r="E72" s="125"/>
      <c r="F72" s="125"/>
      <c r="G72" s="125"/>
      <c r="H72" s="142"/>
      <c r="I72" s="252"/>
      <c r="J72" s="125"/>
      <c r="K72" s="285" t="s">
        <v>620</v>
      </c>
      <c r="L72" s="286">
        <v>158.99</v>
      </c>
      <c r="M72" s="287" t="s">
        <v>621</v>
      </c>
      <c r="N72" s="253"/>
      <c r="O72" s="146"/>
      <c r="P72" s="146"/>
      <c r="Q72" s="146"/>
      <c r="R72" s="125"/>
    </row>
    <row r="73" spans="1:18" ht="12">
      <c r="A73" s="217"/>
      <c r="B73" s="142"/>
      <c r="C73" s="142"/>
      <c r="D73" s="125"/>
      <c r="E73" s="125"/>
      <c r="F73" s="125"/>
      <c r="G73" s="125"/>
      <c r="H73" s="142"/>
      <c r="I73" s="252"/>
      <c r="J73" s="125"/>
      <c r="K73" s="125"/>
      <c r="L73" s="125"/>
      <c r="M73" s="125"/>
      <c r="N73" s="253"/>
      <c r="O73" s="146"/>
      <c r="P73" s="146"/>
      <c r="Q73" s="146"/>
      <c r="R73" s="125"/>
    </row>
    <row r="74" spans="1:18" ht="12">
      <c r="A74" s="217"/>
      <c r="B74" s="142"/>
      <c r="C74" s="142"/>
      <c r="D74" s="125"/>
      <c r="E74" s="125"/>
      <c r="F74" s="125"/>
      <c r="G74" s="125"/>
      <c r="H74" s="142"/>
      <c r="I74" s="252"/>
      <c r="J74" s="125"/>
      <c r="K74" s="288" t="s">
        <v>622</v>
      </c>
      <c r="L74" s="289">
        <v>31</v>
      </c>
      <c r="M74" s="290" t="s">
        <v>623</v>
      </c>
      <c r="N74" s="253"/>
      <c r="O74" s="146"/>
      <c r="P74" s="146"/>
      <c r="Q74" s="146"/>
      <c r="R74" s="125"/>
    </row>
    <row r="75" spans="1:18" ht="12">
      <c r="A75" s="217"/>
      <c r="B75" s="142"/>
      <c r="C75" s="142"/>
      <c r="D75" s="125"/>
      <c r="E75" s="125"/>
      <c r="F75" s="125"/>
      <c r="G75" s="125"/>
      <c r="H75" s="142"/>
      <c r="I75" s="252"/>
      <c r="J75" s="125"/>
      <c r="K75" s="177" t="s">
        <v>624</v>
      </c>
      <c r="L75" s="284">
        <v>2.818181818181818</v>
      </c>
      <c r="M75" s="291" t="s">
        <v>616</v>
      </c>
      <c r="N75" s="253"/>
      <c r="O75" s="146"/>
      <c r="P75" s="146"/>
      <c r="Q75" s="146"/>
      <c r="R75" s="125"/>
    </row>
    <row r="76" spans="1:18" ht="12">
      <c r="A76" s="217"/>
      <c r="B76" s="142"/>
      <c r="C76" s="142"/>
      <c r="D76" s="125"/>
      <c r="E76" s="125"/>
      <c r="F76" s="125"/>
      <c r="G76" s="125"/>
      <c r="H76" s="142"/>
      <c r="I76" s="252"/>
      <c r="J76" s="125"/>
      <c r="K76" s="272" t="s">
        <v>622</v>
      </c>
      <c r="L76" s="292">
        <v>0.09090909090909091</v>
      </c>
      <c r="M76" s="293" t="s">
        <v>616</v>
      </c>
      <c r="N76" s="253"/>
      <c r="O76" s="146"/>
      <c r="P76" s="146"/>
      <c r="Q76" s="146"/>
      <c r="R76" s="125"/>
    </row>
    <row r="77" spans="1:18" ht="12">
      <c r="A77" s="217"/>
      <c r="B77" s="142"/>
      <c r="C77" s="142"/>
      <c r="D77" s="125"/>
      <c r="E77" s="125"/>
      <c r="F77" s="125"/>
      <c r="G77" s="125"/>
      <c r="H77" s="142"/>
      <c r="I77" s="252"/>
      <c r="J77" s="125"/>
      <c r="K77" s="285" t="s">
        <v>625</v>
      </c>
      <c r="L77" s="286">
        <v>35.31</v>
      </c>
      <c r="M77" s="287" t="s">
        <v>623</v>
      </c>
      <c r="N77" s="253"/>
      <c r="O77" s="146"/>
      <c r="P77" s="146"/>
      <c r="Q77" s="146"/>
      <c r="R77" s="125"/>
    </row>
    <row r="78" spans="1:18" ht="12">
      <c r="A78" s="217"/>
      <c r="B78" s="142"/>
      <c r="C78" s="142"/>
      <c r="D78" s="125"/>
      <c r="E78" s="125"/>
      <c r="F78" s="125"/>
      <c r="G78" s="125"/>
      <c r="H78" s="142"/>
      <c r="I78" s="252"/>
      <c r="J78" s="125"/>
      <c r="K78" s="125"/>
      <c r="L78" s="125"/>
      <c r="M78" s="125"/>
      <c r="N78" s="253"/>
      <c r="O78" s="146"/>
      <c r="P78" s="146"/>
      <c r="Q78" s="146"/>
      <c r="R78" s="125"/>
    </row>
  </sheetData>
  <sheetProtection/>
  <mergeCells count="1">
    <mergeCell ref="N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8"/>
  <sheetViews>
    <sheetView zoomScale="150" zoomScaleNormal="150" workbookViewId="0" topLeftCell="A188">
      <selection activeCell="E162" sqref="E162"/>
    </sheetView>
  </sheetViews>
  <sheetFormatPr defaultColWidth="11.421875" defaultRowHeight="12.75"/>
  <cols>
    <col min="2" max="2" width="36.8515625" style="0" customWidth="1"/>
    <col min="4" max="4" width="3.00390625" style="0" customWidth="1"/>
    <col min="6" max="7" width="2.421875" style="0" customWidth="1"/>
    <col min="8" max="8" width="12.421875" style="0" customWidth="1"/>
  </cols>
  <sheetData>
    <row r="1" spans="1:9" ht="16.5">
      <c r="A1" s="375" t="s">
        <v>626</v>
      </c>
      <c r="B1" s="375"/>
      <c r="C1" s="375"/>
      <c r="D1" s="375"/>
      <c r="E1" s="375"/>
      <c r="F1" s="375"/>
      <c r="G1" s="375"/>
      <c r="H1" s="375"/>
      <c r="I1" s="375"/>
    </row>
    <row r="2" spans="1:9" ht="12">
      <c r="A2" s="355" t="s">
        <v>627</v>
      </c>
      <c r="B2" s="355"/>
      <c r="C2" s="355"/>
      <c r="D2" s="355"/>
      <c r="E2" s="355"/>
      <c r="F2" s="355"/>
      <c r="G2" s="355"/>
      <c r="H2" s="355"/>
      <c r="I2" s="355"/>
    </row>
    <row r="3" spans="1:4" ht="12">
      <c r="A3" s="35"/>
      <c r="D3" s="1"/>
    </row>
    <row r="4" spans="1:9" ht="12">
      <c r="A4" s="356" t="s">
        <v>628</v>
      </c>
      <c r="B4" s="356"/>
      <c r="C4" s="356"/>
      <c r="D4" s="356"/>
      <c r="E4" s="356"/>
      <c r="F4" s="356"/>
      <c r="G4" s="356"/>
      <c r="H4" s="356"/>
      <c r="I4" s="356"/>
    </row>
    <row r="5" spans="1:4" ht="12">
      <c r="A5" s="294"/>
      <c r="D5" s="1"/>
    </row>
    <row r="6" spans="1:9" ht="12">
      <c r="A6" s="35" t="s">
        <v>629</v>
      </c>
      <c r="D6" s="1"/>
      <c r="H6" s="357" t="s">
        <v>630</v>
      </c>
      <c r="I6" s="357"/>
    </row>
    <row r="7" spans="1:9" ht="12">
      <c r="A7" s="372" t="s">
        <v>323</v>
      </c>
      <c r="B7" s="372"/>
      <c r="D7" s="1"/>
      <c r="H7" s="295">
        <v>0</v>
      </c>
      <c r="I7" s="295" t="s">
        <v>238</v>
      </c>
    </row>
    <row r="8" spans="1:9" ht="12">
      <c r="A8" s="35" t="s">
        <v>631</v>
      </c>
      <c r="D8" s="1"/>
      <c r="H8" s="295">
        <v>0</v>
      </c>
      <c r="I8" s="295" t="s">
        <v>238</v>
      </c>
    </row>
    <row r="9" spans="1:9" ht="12">
      <c r="A9" s="35" t="s">
        <v>632</v>
      </c>
      <c r="D9" s="1"/>
      <c r="H9" s="295">
        <v>0</v>
      </c>
      <c r="I9" s="295" t="s">
        <v>238</v>
      </c>
    </row>
    <row r="10" spans="1:9" ht="12">
      <c r="A10" s="376" t="s">
        <v>633</v>
      </c>
      <c r="B10" s="376"/>
      <c r="D10" s="1"/>
      <c r="H10" s="295">
        <v>0</v>
      </c>
      <c r="I10" s="295" t="s">
        <v>634</v>
      </c>
    </row>
    <row r="11" spans="1:10" ht="12">
      <c r="A11" s="296" t="s">
        <v>635</v>
      </c>
      <c r="B11" s="297"/>
      <c r="C11" s="297"/>
      <c r="D11" s="298"/>
      <c r="E11" s="297"/>
      <c r="F11" s="297"/>
      <c r="G11" s="297"/>
      <c r="H11" s="299">
        <v>0</v>
      </c>
      <c r="I11" s="299" t="s">
        <v>634</v>
      </c>
      <c r="J11" s="300"/>
    </row>
    <row r="12" spans="4:10" ht="12">
      <c r="D12" s="1"/>
      <c r="J12" s="300"/>
    </row>
    <row r="13" spans="1:4" ht="12">
      <c r="A13" s="372" t="s">
        <v>324</v>
      </c>
      <c r="B13" s="372"/>
      <c r="D13" s="1"/>
    </row>
    <row r="14" spans="1:4" ht="12">
      <c r="A14" s="376" t="s">
        <v>636</v>
      </c>
      <c r="B14" s="376"/>
      <c r="D14" s="1"/>
    </row>
    <row r="15" spans="1:18" ht="24">
      <c r="A15" s="301" t="s">
        <v>325</v>
      </c>
      <c r="B15" s="302" t="s">
        <v>326</v>
      </c>
      <c r="C15" s="302" t="s">
        <v>350</v>
      </c>
      <c r="D15" s="303" t="s">
        <v>637</v>
      </c>
      <c r="E15" s="302" t="s">
        <v>654</v>
      </c>
      <c r="F15" s="302"/>
      <c r="G15" s="302"/>
      <c r="H15" s="304" t="s">
        <v>360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8" ht="12">
      <c r="A16" s="305" t="s">
        <v>639</v>
      </c>
      <c r="B16" s="306"/>
      <c r="C16" t="s">
        <v>596</v>
      </c>
      <c r="D16" s="1" t="s">
        <v>637</v>
      </c>
      <c r="E16">
        <v>0.43</v>
      </c>
      <c r="H16" s="307">
        <v>0</v>
      </c>
    </row>
    <row r="17" spans="1:17" ht="12">
      <c r="A17" s="308" t="s">
        <v>640</v>
      </c>
      <c r="B17" s="309"/>
      <c r="C17" s="310" t="s">
        <v>596</v>
      </c>
      <c r="D17" s="311" t="s">
        <v>637</v>
      </c>
      <c r="E17" s="310">
        <v>0.19</v>
      </c>
      <c r="F17" s="310"/>
      <c r="G17" s="310"/>
      <c r="H17" s="312">
        <v>0</v>
      </c>
      <c r="J17" s="373" t="s">
        <v>641</v>
      </c>
      <c r="K17" s="373"/>
      <c r="L17" s="373"/>
      <c r="M17" s="373"/>
      <c r="N17" s="373"/>
      <c r="O17" s="373"/>
      <c r="P17" s="373"/>
      <c r="Q17" s="373"/>
    </row>
    <row r="18" spans="1:16" ht="12">
      <c r="A18" s="313"/>
      <c r="B18" s="314"/>
      <c r="C18" s="315" t="s">
        <v>595</v>
      </c>
      <c r="D18" s="316" t="s">
        <v>637</v>
      </c>
      <c r="E18" s="315">
        <v>5.43</v>
      </c>
      <c r="F18" s="315"/>
      <c r="G18" s="315"/>
      <c r="H18" s="317">
        <v>0</v>
      </c>
      <c r="J18" s="373" t="s">
        <v>642</v>
      </c>
      <c r="K18" s="373"/>
      <c r="L18" s="373"/>
      <c r="M18" s="373"/>
      <c r="N18" s="373"/>
      <c r="O18" s="373"/>
      <c r="P18" s="373"/>
    </row>
    <row r="19" spans="1:17" ht="12">
      <c r="A19" s="308" t="s">
        <v>643</v>
      </c>
      <c r="B19" s="309"/>
      <c r="C19" s="349" t="s">
        <v>343</v>
      </c>
      <c r="D19" s="311" t="s">
        <v>637</v>
      </c>
      <c r="E19" s="310">
        <v>3190</v>
      </c>
      <c r="F19" s="310"/>
      <c r="G19" s="310"/>
      <c r="H19" s="312">
        <v>0</v>
      </c>
      <c r="J19" s="373" t="s">
        <v>644</v>
      </c>
      <c r="K19" s="373"/>
      <c r="L19" s="373"/>
      <c r="M19" s="373"/>
      <c r="N19" s="373"/>
      <c r="O19" s="373"/>
      <c r="P19" s="373"/>
      <c r="Q19" s="373"/>
    </row>
    <row r="20" spans="1:17" ht="12">
      <c r="A20" s="305"/>
      <c r="B20" s="306"/>
      <c r="C20" t="s">
        <v>596</v>
      </c>
      <c r="D20" s="1" t="s">
        <v>637</v>
      </c>
      <c r="E20">
        <v>0.25</v>
      </c>
      <c r="H20" s="307">
        <v>0</v>
      </c>
      <c r="J20" s="373" t="s">
        <v>645</v>
      </c>
      <c r="K20" s="373"/>
      <c r="L20" s="373"/>
      <c r="M20" s="373"/>
      <c r="N20" s="373"/>
      <c r="O20" s="373"/>
      <c r="P20" s="373"/>
      <c r="Q20" s="373"/>
    </row>
    <row r="21" spans="1:18" ht="12">
      <c r="A21" s="313"/>
      <c r="B21" s="314"/>
      <c r="C21" s="348" t="s">
        <v>342</v>
      </c>
      <c r="D21" s="316" t="s">
        <v>637</v>
      </c>
      <c r="E21" s="315">
        <v>2.69</v>
      </c>
      <c r="F21" s="315"/>
      <c r="G21" s="315"/>
      <c r="H21" s="317">
        <v>0</v>
      </c>
      <c r="J21" s="373" t="s">
        <v>646</v>
      </c>
      <c r="K21" s="373"/>
      <c r="L21" s="373"/>
      <c r="M21" s="373"/>
      <c r="N21" s="373"/>
      <c r="O21" s="373"/>
      <c r="P21" s="373"/>
      <c r="Q21" s="373"/>
      <c r="R21" s="373"/>
    </row>
    <row r="22" spans="1:11" ht="12">
      <c r="A22" s="308" t="s">
        <v>647</v>
      </c>
      <c r="B22" s="309"/>
      <c r="C22" s="349" t="s">
        <v>343</v>
      </c>
      <c r="D22" s="311" t="s">
        <v>637</v>
      </c>
      <c r="E22" s="310">
        <v>3164</v>
      </c>
      <c r="F22" s="310"/>
      <c r="G22" s="310"/>
      <c r="H22" s="312">
        <v>0</v>
      </c>
      <c r="J22" s="373" t="s">
        <v>648</v>
      </c>
      <c r="K22" s="373"/>
    </row>
    <row r="23" spans="1:17" ht="12">
      <c r="A23" s="305"/>
      <c r="B23" s="306"/>
      <c r="C23" t="s">
        <v>596</v>
      </c>
      <c r="D23" s="1" t="s">
        <v>637</v>
      </c>
      <c r="E23">
        <v>0.25</v>
      </c>
      <c r="H23" s="307">
        <v>0</v>
      </c>
      <c r="J23" s="373" t="s">
        <v>649</v>
      </c>
      <c r="K23" s="373"/>
      <c r="L23" s="373"/>
      <c r="M23" s="373"/>
      <c r="N23" s="373"/>
      <c r="O23" s="373"/>
      <c r="P23" s="373"/>
      <c r="Q23" s="373"/>
    </row>
    <row r="24" spans="1:17" ht="12">
      <c r="A24" s="305"/>
      <c r="B24" s="306"/>
      <c r="C24" s="348" t="s">
        <v>342</v>
      </c>
      <c r="D24" s="1" t="s">
        <v>637</v>
      </c>
      <c r="E24">
        <v>2.63</v>
      </c>
      <c r="H24" s="307">
        <v>0</v>
      </c>
      <c r="J24" s="373" t="s">
        <v>650</v>
      </c>
      <c r="K24" s="373"/>
      <c r="L24" s="373"/>
      <c r="M24" s="373"/>
      <c r="N24" s="373"/>
      <c r="O24" s="373"/>
      <c r="P24" s="373"/>
      <c r="Q24" s="373"/>
    </row>
    <row r="25" spans="1:10" ht="12">
      <c r="A25" s="313"/>
      <c r="B25" s="314"/>
      <c r="C25" s="315" t="s">
        <v>651</v>
      </c>
      <c r="D25" s="316" t="s">
        <v>637</v>
      </c>
      <c r="E25" s="318">
        <v>11.719543</v>
      </c>
      <c r="F25" s="315"/>
      <c r="G25" s="315"/>
      <c r="H25" s="317">
        <v>0</v>
      </c>
      <c r="J25" s="294"/>
    </row>
    <row r="26" spans="1:17" ht="12">
      <c r="A26" s="346" t="s">
        <v>334</v>
      </c>
      <c r="B26" s="309"/>
      <c r="C26" s="349" t="s">
        <v>343</v>
      </c>
      <c r="D26" s="311" t="s">
        <v>637</v>
      </c>
      <c r="E26" s="310">
        <v>3135</v>
      </c>
      <c r="F26" s="310"/>
      <c r="G26" s="310"/>
      <c r="H26" s="312">
        <v>0</v>
      </c>
      <c r="J26" s="373" t="s">
        <v>652</v>
      </c>
      <c r="K26" s="373"/>
      <c r="L26" s="373"/>
      <c r="M26" s="373"/>
      <c r="N26" s="373"/>
      <c r="O26" s="373"/>
      <c r="P26" s="373"/>
      <c r="Q26" s="373"/>
    </row>
    <row r="27" spans="1:17" ht="12">
      <c r="A27" s="305"/>
      <c r="B27" s="306"/>
      <c r="C27" t="s">
        <v>596</v>
      </c>
      <c r="D27" s="1" t="s">
        <v>637</v>
      </c>
      <c r="E27">
        <v>0.24</v>
      </c>
      <c r="H27" s="307">
        <v>0</v>
      </c>
      <c r="J27" s="373" t="s">
        <v>550</v>
      </c>
      <c r="K27" s="373"/>
      <c r="L27" s="373"/>
      <c r="M27" s="373"/>
      <c r="N27" s="373"/>
      <c r="O27" s="373"/>
      <c r="P27" s="373"/>
      <c r="Q27" s="373"/>
    </row>
    <row r="28" spans="1:17" ht="12">
      <c r="A28" s="305"/>
      <c r="B28" s="306"/>
      <c r="C28" s="348" t="s">
        <v>342</v>
      </c>
      <c r="D28" s="1" t="s">
        <v>637</v>
      </c>
      <c r="E28">
        <v>2.3</v>
      </c>
      <c r="H28" s="307">
        <v>0</v>
      </c>
      <c r="J28" s="373" t="s">
        <v>551</v>
      </c>
      <c r="K28" s="373"/>
      <c r="L28" s="373"/>
      <c r="M28" s="373"/>
      <c r="N28" s="373"/>
      <c r="O28" s="373"/>
      <c r="P28" s="373"/>
      <c r="Q28" s="373"/>
    </row>
    <row r="29" spans="1:10" ht="12">
      <c r="A29" s="305"/>
      <c r="B29" s="306"/>
      <c r="C29" s="315" t="s">
        <v>651</v>
      </c>
      <c r="D29" s="316" t="s">
        <v>637</v>
      </c>
      <c r="E29" s="318">
        <v>10.24903</v>
      </c>
      <c r="H29" s="307"/>
      <c r="J29" s="294"/>
    </row>
    <row r="30" spans="1:17" ht="12">
      <c r="A30" s="346" t="s">
        <v>327</v>
      </c>
      <c r="B30" s="309"/>
      <c r="C30" s="349" t="s">
        <v>343</v>
      </c>
      <c r="D30" s="311" t="s">
        <v>637</v>
      </c>
      <c r="E30" s="310">
        <v>3223</v>
      </c>
      <c r="F30" s="310"/>
      <c r="G30" s="310"/>
      <c r="H30" s="312">
        <v>0</v>
      </c>
      <c r="J30" s="373" t="s">
        <v>552</v>
      </c>
      <c r="K30" s="373"/>
      <c r="L30" s="373"/>
      <c r="M30" s="373"/>
      <c r="N30" s="373"/>
      <c r="O30" s="373"/>
      <c r="P30" s="373"/>
      <c r="Q30" s="373"/>
    </row>
    <row r="31" spans="1:17" ht="12">
      <c r="A31" s="313"/>
      <c r="B31" s="314"/>
      <c r="C31" s="315" t="s">
        <v>596</v>
      </c>
      <c r="D31" s="316" t="s">
        <v>637</v>
      </c>
      <c r="E31" s="315">
        <v>0.27</v>
      </c>
      <c r="F31" s="315"/>
      <c r="G31" s="315"/>
      <c r="H31" s="317">
        <v>0</v>
      </c>
      <c r="J31" s="373" t="s">
        <v>553</v>
      </c>
      <c r="K31" s="373"/>
      <c r="L31" s="373"/>
      <c r="M31" s="373"/>
      <c r="N31" s="373"/>
      <c r="O31" s="373"/>
      <c r="P31" s="373"/>
      <c r="Q31" s="373"/>
    </row>
    <row r="32" spans="1:17" ht="12">
      <c r="A32" s="346" t="s">
        <v>328</v>
      </c>
      <c r="B32" s="309"/>
      <c r="C32" s="349" t="s">
        <v>343</v>
      </c>
      <c r="D32" s="311" t="s">
        <v>637</v>
      </c>
      <c r="E32" s="310">
        <v>2548</v>
      </c>
      <c r="F32" s="310"/>
      <c r="G32" s="310"/>
      <c r="H32" s="312">
        <v>0</v>
      </c>
      <c r="J32" s="373" t="s">
        <v>554</v>
      </c>
      <c r="K32" s="373"/>
      <c r="L32" s="373"/>
      <c r="M32" s="373"/>
      <c r="N32" s="373"/>
      <c r="O32" s="373"/>
      <c r="P32" s="373"/>
      <c r="Q32" s="373"/>
    </row>
    <row r="33" spans="1:11" ht="12">
      <c r="A33" s="313"/>
      <c r="B33" s="314"/>
      <c r="C33" s="315" t="s">
        <v>596</v>
      </c>
      <c r="D33" s="316" t="s">
        <v>637</v>
      </c>
      <c r="E33" s="315">
        <v>0.32</v>
      </c>
      <c r="F33" s="315"/>
      <c r="G33" s="315"/>
      <c r="H33" s="317">
        <v>0</v>
      </c>
      <c r="J33" s="373" t="s">
        <v>555</v>
      </c>
      <c r="K33" s="373"/>
    </row>
    <row r="34" spans="1:8" ht="12">
      <c r="A34" s="346" t="s">
        <v>329</v>
      </c>
      <c r="B34" s="309"/>
      <c r="C34" s="310" t="s">
        <v>596</v>
      </c>
      <c r="D34" s="311" t="s">
        <v>637</v>
      </c>
      <c r="E34" s="310">
        <v>0.214</v>
      </c>
      <c r="F34" s="310"/>
      <c r="G34" s="310"/>
      <c r="H34" s="312">
        <v>0</v>
      </c>
    </row>
    <row r="35" spans="1:8" ht="12">
      <c r="A35" s="305"/>
      <c r="B35" s="306"/>
      <c r="C35" t="s">
        <v>595</v>
      </c>
      <c r="D35" s="1" t="s">
        <v>637</v>
      </c>
      <c r="E35">
        <v>6.27</v>
      </c>
      <c r="H35" s="307">
        <v>0</v>
      </c>
    </row>
    <row r="36" spans="1:8" ht="12">
      <c r="A36" s="313"/>
      <c r="B36" s="314"/>
      <c r="C36" s="348" t="s">
        <v>342</v>
      </c>
      <c r="D36" s="316" t="s">
        <v>637</v>
      </c>
      <c r="E36" s="315">
        <v>1.49</v>
      </c>
      <c r="F36" s="315"/>
      <c r="G36" s="315"/>
      <c r="H36" s="317">
        <v>0</v>
      </c>
    </row>
    <row r="37" spans="1:8" ht="12">
      <c r="A37" s="346" t="s">
        <v>331</v>
      </c>
      <c r="B37" s="309"/>
      <c r="C37" s="349" t="s">
        <v>343</v>
      </c>
      <c r="D37" s="311" t="s">
        <v>637</v>
      </c>
      <c r="E37" s="310">
        <v>2736</v>
      </c>
      <c r="F37" s="310"/>
      <c r="G37" s="310"/>
      <c r="H37" s="312">
        <v>0</v>
      </c>
    </row>
    <row r="38" spans="1:8" ht="12">
      <c r="A38" s="313"/>
      <c r="B38" s="314"/>
      <c r="C38" s="315" t="s">
        <v>596</v>
      </c>
      <c r="D38" s="316" t="s">
        <v>637</v>
      </c>
      <c r="E38" s="315">
        <v>0.331</v>
      </c>
      <c r="F38" s="315"/>
      <c r="G38" s="315"/>
      <c r="H38" s="317">
        <v>0</v>
      </c>
    </row>
    <row r="39" spans="1:8" ht="12">
      <c r="A39" s="346" t="s">
        <v>330</v>
      </c>
      <c r="B39" s="309"/>
      <c r="C39" s="310" t="s">
        <v>605</v>
      </c>
      <c r="D39" s="311" t="s">
        <v>637</v>
      </c>
      <c r="E39" s="310">
        <v>3128</v>
      </c>
      <c r="F39" s="310"/>
      <c r="G39" s="310"/>
      <c r="H39" s="312">
        <v>0</v>
      </c>
    </row>
    <row r="40" spans="1:8" ht="12">
      <c r="A40" s="305"/>
      <c r="B40" s="306"/>
      <c r="C40" t="s">
        <v>596</v>
      </c>
      <c r="D40" s="1" t="s">
        <v>637</v>
      </c>
      <c r="E40">
        <v>0.24</v>
      </c>
      <c r="H40" s="307">
        <v>0</v>
      </c>
    </row>
    <row r="41" spans="1:8" ht="12">
      <c r="A41" s="313"/>
      <c r="B41" s="314"/>
      <c r="C41" s="348" t="s">
        <v>342</v>
      </c>
      <c r="D41" s="316" t="s">
        <v>637</v>
      </c>
      <c r="E41" s="315">
        <v>2.24</v>
      </c>
      <c r="F41" s="315"/>
      <c r="G41" s="315"/>
      <c r="H41" s="317">
        <v>0</v>
      </c>
    </row>
    <row r="42" spans="1:8" ht="12">
      <c r="A42" s="346" t="s">
        <v>332</v>
      </c>
      <c r="B42" s="309"/>
      <c r="C42" s="349" t="s">
        <v>343</v>
      </c>
      <c r="D42" s="311" t="s">
        <v>637</v>
      </c>
      <c r="E42" s="310">
        <v>3150</v>
      </c>
      <c r="F42" s="310"/>
      <c r="G42" s="310"/>
      <c r="H42" s="312">
        <v>0</v>
      </c>
    </row>
    <row r="43" spans="1:8" ht="12">
      <c r="A43" s="305"/>
      <c r="B43" s="306"/>
      <c r="C43" t="s">
        <v>596</v>
      </c>
      <c r="D43" s="1" t="s">
        <v>637</v>
      </c>
      <c r="E43">
        <v>0.25</v>
      </c>
      <c r="H43" s="307">
        <v>0</v>
      </c>
    </row>
    <row r="44" spans="1:8" ht="12">
      <c r="A44" s="313"/>
      <c r="B44" s="314"/>
      <c r="C44" s="348" t="s">
        <v>342</v>
      </c>
      <c r="D44" s="316" t="s">
        <v>637</v>
      </c>
      <c r="E44" s="315">
        <v>2.52</v>
      </c>
      <c r="F44" s="315"/>
      <c r="G44" s="315"/>
      <c r="H44" s="317">
        <v>0</v>
      </c>
    </row>
    <row r="45" spans="1:8" ht="12">
      <c r="A45" s="346" t="s">
        <v>333</v>
      </c>
      <c r="B45" s="309"/>
      <c r="C45" s="349" t="s">
        <v>343</v>
      </c>
      <c r="D45" s="311" t="s">
        <v>637</v>
      </c>
      <c r="E45" s="310">
        <v>2897</v>
      </c>
      <c r="F45" s="310"/>
      <c r="G45" s="310"/>
      <c r="H45" s="312">
        <v>0</v>
      </c>
    </row>
    <row r="46" spans="1:8" ht="12">
      <c r="A46" s="313"/>
      <c r="B46" s="314"/>
      <c r="C46" s="315" t="s">
        <v>596</v>
      </c>
      <c r="D46" s="316" t="s">
        <v>637</v>
      </c>
      <c r="E46" s="315">
        <v>0.21</v>
      </c>
      <c r="F46" s="315"/>
      <c r="G46" s="315"/>
      <c r="H46" s="317">
        <v>0</v>
      </c>
    </row>
    <row r="47" spans="1:8" ht="12">
      <c r="A47" s="308" t="s">
        <v>556</v>
      </c>
      <c r="B47" s="309"/>
      <c r="C47" s="349" t="s">
        <v>343</v>
      </c>
      <c r="D47" s="311" t="s">
        <v>637</v>
      </c>
      <c r="E47" s="310">
        <v>3131</v>
      </c>
      <c r="F47" s="310"/>
      <c r="G47" s="310"/>
      <c r="H47" s="312">
        <v>0</v>
      </c>
    </row>
    <row r="48" spans="1:8" ht="12">
      <c r="A48" s="313"/>
      <c r="B48" s="314"/>
      <c r="C48" s="315" t="s">
        <v>596</v>
      </c>
      <c r="D48" s="316" t="s">
        <v>637</v>
      </c>
      <c r="E48" s="315">
        <v>0.24</v>
      </c>
      <c r="F48" s="315"/>
      <c r="G48" s="315"/>
      <c r="H48" s="317">
        <v>0</v>
      </c>
    </row>
    <row r="49" spans="1:8" ht="12">
      <c r="A49" s="346" t="s">
        <v>335</v>
      </c>
      <c r="B49" s="309"/>
      <c r="C49" s="349" t="s">
        <v>343</v>
      </c>
      <c r="D49" s="311" t="s">
        <v>637</v>
      </c>
      <c r="E49" s="310">
        <v>3171</v>
      </c>
      <c r="F49" s="310"/>
      <c r="G49" s="310"/>
      <c r="H49" s="312">
        <v>0</v>
      </c>
    </row>
    <row r="50" spans="1:8" ht="12">
      <c r="A50" s="313"/>
      <c r="B50" s="314"/>
      <c r="C50" s="315" t="s">
        <v>596</v>
      </c>
      <c r="D50" s="316" t="s">
        <v>637</v>
      </c>
      <c r="E50" s="315">
        <v>0.25</v>
      </c>
      <c r="F50" s="315"/>
      <c r="G50" s="315"/>
      <c r="H50" s="317">
        <v>0</v>
      </c>
    </row>
    <row r="51" spans="1:8" ht="12">
      <c r="A51" s="308" t="s">
        <v>76</v>
      </c>
      <c r="B51" s="309"/>
      <c r="C51" s="349" t="s">
        <v>343</v>
      </c>
      <c r="D51" s="311" t="s">
        <v>637</v>
      </c>
      <c r="E51" s="310">
        <v>3410</v>
      </c>
      <c r="F51" s="310"/>
      <c r="G51" s="310"/>
      <c r="H51" s="312">
        <v>0</v>
      </c>
    </row>
    <row r="52" spans="1:8" ht="12">
      <c r="A52" s="313"/>
      <c r="B52" s="314"/>
      <c r="C52" s="315" t="s">
        <v>596</v>
      </c>
      <c r="D52" s="316" t="s">
        <v>637</v>
      </c>
      <c r="E52" s="315">
        <v>0.34</v>
      </c>
      <c r="F52" s="315"/>
      <c r="G52" s="315"/>
      <c r="H52" s="317">
        <v>0</v>
      </c>
    </row>
    <row r="53" spans="1:8" ht="12">
      <c r="A53" s="346" t="s">
        <v>336</v>
      </c>
      <c r="B53" s="309"/>
      <c r="C53" s="310" t="s">
        <v>596</v>
      </c>
      <c r="D53" s="311" t="s">
        <v>637</v>
      </c>
      <c r="E53" s="310">
        <v>0.24</v>
      </c>
      <c r="F53" s="310"/>
      <c r="G53" s="310"/>
      <c r="H53" s="312">
        <v>0</v>
      </c>
    </row>
    <row r="54" spans="1:8" ht="12">
      <c r="A54" s="313"/>
      <c r="B54" s="314"/>
      <c r="C54" s="315" t="s">
        <v>595</v>
      </c>
      <c r="D54" s="316" t="s">
        <v>637</v>
      </c>
      <c r="E54" s="315">
        <v>7.16</v>
      </c>
      <c r="F54" s="315"/>
      <c r="G54" s="315"/>
      <c r="H54" s="317">
        <v>0</v>
      </c>
    </row>
    <row r="55" spans="1:8" ht="12">
      <c r="A55" s="313" t="s">
        <v>337</v>
      </c>
      <c r="B55" s="314"/>
      <c r="C55" s="315"/>
      <c r="D55" s="316" t="s">
        <v>637</v>
      </c>
      <c r="E55" s="315">
        <v>0</v>
      </c>
      <c r="F55" s="315"/>
      <c r="G55" s="315"/>
      <c r="H55" s="317">
        <v>0</v>
      </c>
    </row>
    <row r="56" spans="1:8" ht="12">
      <c r="A56" s="319" t="s">
        <v>338</v>
      </c>
      <c r="B56" s="320"/>
      <c r="C56" s="320"/>
      <c r="D56" s="321"/>
      <c r="E56" s="320"/>
      <c r="F56" s="320"/>
      <c r="G56" s="320"/>
      <c r="H56" s="322">
        <v>0</v>
      </c>
    </row>
    <row r="57" ht="12">
      <c r="D57" s="1"/>
    </row>
    <row r="58" ht="12">
      <c r="D58" s="1"/>
    </row>
    <row r="59" ht="12">
      <c r="D59" s="1"/>
    </row>
    <row r="60" spans="1:4" ht="12">
      <c r="A60" s="35" t="s">
        <v>339</v>
      </c>
      <c r="B60" s="294" t="s">
        <v>340</v>
      </c>
      <c r="D60" s="1"/>
    </row>
    <row r="61" ht="12">
      <c r="D61" s="1"/>
    </row>
    <row r="62" spans="1:5" ht="12">
      <c r="A62" s="377" t="s">
        <v>355</v>
      </c>
      <c r="B62" s="377"/>
      <c r="C62" s="377"/>
      <c r="D62" s="377"/>
      <c r="E62" s="377"/>
    </row>
    <row r="63" spans="1:8" ht="12">
      <c r="A63" s="323" t="s">
        <v>325</v>
      </c>
      <c r="B63" s="324" t="s">
        <v>344</v>
      </c>
      <c r="C63" s="324" t="s">
        <v>542</v>
      </c>
      <c r="D63" s="325"/>
      <c r="E63" s="378" t="s">
        <v>654</v>
      </c>
      <c r="F63" s="378"/>
      <c r="G63" s="320"/>
      <c r="H63" s="326" t="s">
        <v>360</v>
      </c>
    </row>
    <row r="64" spans="1:17" ht="12">
      <c r="A64" s="347" t="s">
        <v>334</v>
      </c>
      <c r="B64" s="306"/>
      <c r="C64" s="348" t="s">
        <v>342</v>
      </c>
      <c r="D64" s="1" t="s">
        <v>637</v>
      </c>
      <c r="E64">
        <v>2.3</v>
      </c>
      <c r="H64" s="307">
        <v>0</v>
      </c>
      <c r="J64" s="373" t="s">
        <v>558</v>
      </c>
      <c r="K64" s="373"/>
      <c r="L64" s="373"/>
      <c r="M64" s="373"/>
      <c r="N64" s="373"/>
      <c r="O64" s="373"/>
      <c r="P64" s="373"/>
      <c r="Q64" s="373"/>
    </row>
    <row r="65" spans="1:18" ht="12">
      <c r="A65" s="305" t="s">
        <v>647</v>
      </c>
      <c r="B65" s="306"/>
      <c r="C65" s="348" t="s">
        <v>342</v>
      </c>
      <c r="D65" s="1" t="s">
        <v>637</v>
      </c>
      <c r="E65">
        <v>2.63</v>
      </c>
      <c r="H65" s="307">
        <v>0</v>
      </c>
      <c r="J65" s="373" t="s">
        <v>559</v>
      </c>
      <c r="K65" s="373"/>
      <c r="L65" s="373"/>
      <c r="M65" s="373"/>
      <c r="N65" s="373"/>
      <c r="O65" s="373"/>
      <c r="P65" s="373"/>
      <c r="Q65" s="373"/>
      <c r="R65" s="373"/>
    </row>
    <row r="66" spans="1:15" ht="12">
      <c r="A66" s="347" t="s">
        <v>640</v>
      </c>
      <c r="B66" s="306"/>
      <c r="C66" t="s">
        <v>602</v>
      </c>
      <c r="D66" s="1" t="s">
        <v>637</v>
      </c>
      <c r="E66">
        <v>2.65</v>
      </c>
      <c r="H66" s="307">
        <v>0</v>
      </c>
      <c r="J66" s="373" t="s">
        <v>560</v>
      </c>
      <c r="K66" s="373"/>
      <c r="L66" s="373"/>
      <c r="M66" s="373"/>
      <c r="N66" s="373"/>
      <c r="O66" s="373"/>
    </row>
    <row r="67" spans="1:8" ht="12">
      <c r="A67" s="313" t="s">
        <v>341</v>
      </c>
      <c r="B67" s="314"/>
      <c r="C67" s="348" t="s">
        <v>342</v>
      </c>
      <c r="D67" s="316" t="s">
        <v>637</v>
      </c>
      <c r="E67" s="315">
        <v>1.49</v>
      </c>
      <c r="F67" s="315"/>
      <c r="G67" s="315"/>
      <c r="H67" s="317">
        <v>0</v>
      </c>
    </row>
    <row r="68" spans="1:8" ht="12">
      <c r="A68" s="319" t="s">
        <v>557</v>
      </c>
      <c r="B68" s="320"/>
      <c r="C68" s="320"/>
      <c r="D68" s="321"/>
      <c r="E68" s="320"/>
      <c r="F68" s="320"/>
      <c r="G68" s="320"/>
      <c r="H68" s="322">
        <v>0</v>
      </c>
    </row>
    <row r="69" ht="12">
      <c r="D69" s="1"/>
    </row>
    <row r="70" spans="1:8" ht="12">
      <c r="A70" s="377" t="s">
        <v>354</v>
      </c>
      <c r="B70" s="377"/>
      <c r="C70" s="377"/>
      <c r="D70" s="377"/>
      <c r="E70" s="377"/>
      <c r="F70" s="377"/>
      <c r="G70" s="377"/>
      <c r="H70" s="377"/>
    </row>
    <row r="71" spans="1:8" ht="12">
      <c r="A71" s="327" t="s">
        <v>363</v>
      </c>
      <c r="B71" s="328" t="s">
        <v>364</v>
      </c>
      <c r="C71" s="328" t="s">
        <v>350</v>
      </c>
      <c r="D71" s="230" t="s">
        <v>637</v>
      </c>
      <c r="E71" s="378" t="s">
        <v>654</v>
      </c>
      <c r="F71" s="378"/>
      <c r="G71" s="310"/>
      <c r="H71" s="329" t="s">
        <v>238</v>
      </c>
    </row>
    <row r="72" spans="1:17" ht="12">
      <c r="A72" s="346" t="s">
        <v>346</v>
      </c>
      <c r="B72" s="309"/>
      <c r="C72" s="349" t="s">
        <v>211</v>
      </c>
      <c r="D72" s="311" t="s">
        <v>637</v>
      </c>
      <c r="E72" s="310">
        <v>0.26</v>
      </c>
      <c r="F72" s="310"/>
      <c r="G72" s="310"/>
      <c r="H72" s="312">
        <v>0</v>
      </c>
      <c r="J72" s="373" t="s">
        <v>562</v>
      </c>
      <c r="K72" s="373"/>
      <c r="L72" s="373"/>
      <c r="M72" s="373"/>
      <c r="N72" s="373"/>
      <c r="O72" s="373"/>
      <c r="P72" s="373"/>
      <c r="Q72" s="373"/>
    </row>
    <row r="73" spans="1:17" ht="12">
      <c r="A73" s="313" t="s">
        <v>346</v>
      </c>
      <c r="B73" s="314"/>
      <c r="C73" s="315" t="s">
        <v>563</v>
      </c>
      <c r="D73" s="316" t="s">
        <v>637</v>
      </c>
      <c r="E73" s="315">
        <v>0.16</v>
      </c>
      <c r="F73" s="315"/>
      <c r="G73" s="315"/>
      <c r="H73" s="317">
        <v>0</v>
      </c>
      <c r="J73" s="373" t="s">
        <v>564</v>
      </c>
      <c r="K73" s="373"/>
      <c r="L73" s="373"/>
      <c r="M73" s="373"/>
      <c r="N73" s="373"/>
      <c r="O73" s="373"/>
      <c r="P73" s="373"/>
      <c r="Q73" s="373"/>
    </row>
    <row r="74" spans="1:17" ht="12">
      <c r="A74" s="308" t="s">
        <v>347</v>
      </c>
      <c r="B74" s="309"/>
      <c r="C74" s="349" t="s">
        <v>211</v>
      </c>
      <c r="D74" s="311" t="s">
        <v>637</v>
      </c>
      <c r="E74" s="310">
        <v>0.3</v>
      </c>
      <c r="F74" s="310"/>
      <c r="G74" s="310"/>
      <c r="H74" s="312">
        <v>0</v>
      </c>
      <c r="J74" s="373" t="s">
        <v>565</v>
      </c>
      <c r="K74" s="373"/>
      <c r="L74" s="373"/>
      <c r="M74" s="373"/>
      <c r="N74" s="373"/>
      <c r="O74" s="373"/>
      <c r="P74" s="373"/>
      <c r="Q74" s="373"/>
    </row>
    <row r="75" spans="1:11" ht="12">
      <c r="A75" s="313" t="s">
        <v>347</v>
      </c>
      <c r="B75" s="314"/>
      <c r="C75" s="315" t="s">
        <v>563</v>
      </c>
      <c r="D75" s="316" t="s">
        <v>637</v>
      </c>
      <c r="E75" s="315">
        <v>0.19</v>
      </c>
      <c r="F75" s="315"/>
      <c r="G75" s="315"/>
      <c r="H75" s="317">
        <v>0</v>
      </c>
      <c r="J75" s="373" t="s">
        <v>566</v>
      </c>
      <c r="K75" s="373"/>
    </row>
    <row r="76" spans="1:8" ht="12">
      <c r="A76" s="313" t="s">
        <v>348</v>
      </c>
      <c r="B76" s="309"/>
      <c r="C76" s="349" t="s">
        <v>211</v>
      </c>
      <c r="D76" s="311" t="s">
        <v>637</v>
      </c>
      <c r="E76" s="310">
        <v>0.35</v>
      </c>
      <c r="F76" s="310"/>
      <c r="G76" s="310"/>
      <c r="H76" s="312">
        <v>0</v>
      </c>
    </row>
    <row r="77" spans="1:8" ht="12">
      <c r="A77" s="313" t="s">
        <v>348</v>
      </c>
      <c r="B77" s="314"/>
      <c r="C77" s="315" t="s">
        <v>563</v>
      </c>
      <c r="D77" s="316" t="s">
        <v>637</v>
      </c>
      <c r="E77" s="315">
        <v>0.22</v>
      </c>
      <c r="F77" s="315"/>
      <c r="G77" s="315"/>
      <c r="H77" s="317">
        <v>0</v>
      </c>
    </row>
    <row r="78" spans="1:8" ht="12">
      <c r="A78" s="347" t="s">
        <v>349</v>
      </c>
      <c r="B78" s="306"/>
      <c r="C78" s="349" t="s">
        <v>211</v>
      </c>
      <c r="D78" s="1" t="s">
        <v>637</v>
      </c>
      <c r="E78">
        <v>0.29</v>
      </c>
      <c r="H78" s="307">
        <v>0</v>
      </c>
    </row>
    <row r="79" spans="1:8" ht="12">
      <c r="A79" s="313"/>
      <c r="B79" s="314"/>
      <c r="C79" s="315" t="s">
        <v>563</v>
      </c>
      <c r="D79" s="316" t="s">
        <v>637</v>
      </c>
      <c r="E79" s="315">
        <v>0.18</v>
      </c>
      <c r="F79" s="315"/>
      <c r="G79" s="315"/>
      <c r="H79" s="317">
        <v>0</v>
      </c>
    </row>
    <row r="80" spans="1:8" ht="12">
      <c r="A80" s="319" t="s">
        <v>338</v>
      </c>
      <c r="B80" s="320"/>
      <c r="C80" s="320"/>
      <c r="D80" s="321"/>
      <c r="E80" s="320"/>
      <c r="F80" s="320"/>
      <c r="G80" s="320"/>
      <c r="H80" s="322">
        <v>0</v>
      </c>
    </row>
    <row r="81" spans="1:8" ht="12">
      <c r="A81" s="35"/>
      <c r="D81" s="1"/>
      <c r="H81" s="330"/>
    </row>
    <row r="82" spans="1:8" ht="12">
      <c r="A82" s="377" t="s">
        <v>345</v>
      </c>
      <c r="B82" s="377"/>
      <c r="C82" s="377"/>
      <c r="D82" s="377"/>
      <c r="E82" s="377"/>
      <c r="F82" s="377"/>
      <c r="G82" s="377"/>
      <c r="H82" s="377"/>
    </row>
    <row r="83" spans="1:8" ht="12">
      <c r="A83" s="327" t="s">
        <v>363</v>
      </c>
      <c r="B83" s="328" t="s">
        <v>364</v>
      </c>
      <c r="C83" s="328" t="s">
        <v>350</v>
      </c>
      <c r="D83" s="230" t="s">
        <v>637</v>
      </c>
      <c r="E83" s="378" t="s">
        <v>654</v>
      </c>
      <c r="F83" s="378"/>
      <c r="G83" s="328"/>
      <c r="H83" s="329" t="s">
        <v>238</v>
      </c>
    </row>
    <row r="84" spans="1:17" ht="12">
      <c r="A84" s="313" t="s">
        <v>351</v>
      </c>
      <c r="B84" s="309"/>
      <c r="C84" s="310" t="s">
        <v>561</v>
      </c>
      <c r="D84" s="311" t="s">
        <v>637</v>
      </c>
      <c r="E84" s="310">
        <v>0.26</v>
      </c>
      <c r="F84" s="310"/>
      <c r="G84" s="310"/>
      <c r="H84" s="312">
        <v>0</v>
      </c>
      <c r="J84" s="373" t="s">
        <v>562</v>
      </c>
      <c r="K84" s="373"/>
      <c r="L84" s="373"/>
      <c r="M84" s="373"/>
      <c r="N84" s="373"/>
      <c r="O84" s="373"/>
      <c r="P84" s="373"/>
      <c r="Q84" s="373"/>
    </row>
    <row r="85" spans="1:17" ht="12">
      <c r="A85" s="313" t="s">
        <v>351</v>
      </c>
      <c r="B85" s="314"/>
      <c r="C85" s="348" t="s">
        <v>342</v>
      </c>
      <c r="D85" s="316" t="s">
        <v>637</v>
      </c>
      <c r="E85" s="315">
        <v>0.16</v>
      </c>
      <c r="F85" s="315"/>
      <c r="G85" s="315"/>
      <c r="H85" s="317">
        <v>0</v>
      </c>
      <c r="J85" s="373" t="s">
        <v>564</v>
      </c>
      <c r="K85" s="373"/>
      <c r="L85" s="373"/>
      <c r="M85" s="373"/>
      <c r="N85" s="373"/>
      <c r="O85" s="373"/>
      <c r="P85" s="373"/>
      <c r="Q85" s="373"/>
    </row>
    <row r="86" spans="1:17" ht="12">
      <c r="A86" s="313" t="s">
        <v>352</v>
      </c>
      <c r="B86" s="309"/>
      <c r="C86" s="310" t="s">
        <v>561</v>
      </c>
      <c r="D86" s="311" t="s">
        <v>637</v>
      </c>
      <c r="E86" s="310">
        <v>0.31</v>
      </c>
      <c r="F86" s="310"/>
      <c r="G86" s="310"/>
      <c r="H86" s="312">
        <v>0</v>
      </c>
      <c r="J86" s="373" t="s">
        <v>565</v>
      </c>
      <c r="K86" s="373"/>
      <c r="L86" s="373"/>
      <c r="M86" s="373"/>
      <c r="N86" s="373"/>
      <c r="O86" s="373"/>
      <c r="P86" s="373"/>
      <c r="Q86" s="373"/>
    </row>
    <row r="87" spans="1:11" ht="12">
      <c r="A87" s="313" t="s">
        <v>352</v>
      </c>
      <c r="B87" s="314"/>
      <c r="C87" s="348" t="s">
        <v>342</v>
      </c>
      <c r="D87" s="316" t="s">
        <v>637</v>
      </c>
      <c r="E87" s="315">
        <v>0.19</v>
      </c>
      <c r="F87" s="315"/>
      <c r="G87" s="315"/>
      <c r="H87" s="317">
        <v>0</v>
      </c>
      <c r="J87" s="373" t="s">
        <v>566</v>
      </c>
      <c r="K87" s="373"/>
    </row>
    <row r="88" spans="1:8" ht="12">
      <c r="A88" s="347" t="s">
        <v>353</v>
      </c>
      <c r="B88" s="306"/>
      <c r="C88" t="s">
        <v>561</v>
      </c>
      <c r="D88" s="1" t="s">
        <v>637</v>
      </c>
      <c r="E88">
        <v>0.27</v>
      </c>
      <c r="H88" s="307">
        <v>0</v>
      </c>
    </row>
    <row r="89" spans="1:8" ht="12">
      <c r="A89" s="313"/>
      <c r="B89" s="314"/>
      <c r="C89" s="348" t="s">
        <v>342</v>
      </c>
      <c r="D89" s="316" t="s">
        <v>637</v>
      </c>
      <c r="E89" s="315">
        <v>0.17</v>
      </c>
      <c r="F89" s="315"/>
      <c r="G89" s="315"/>
      <c r="H89" s="317">
        <v>0</v>
      </c>
    </row>
    <row r="90" spans="1:8" ht="12">
      <c r="A90" s="319" t="s">
        <v>338</v>
      </c>
      <c r="B90" s="320"/>
      <c r="C90" s="320"/>
      <c r="D90" s="321"/>
      <c r="E90" s="320"/>
      <c r="F90" s="320"/>
      <c r="G90" s="320"/>
      <c r="H90" s="322">
        <v>0</v>
      </c>
    </row>
    <row r="91" spans="4:8" ht="12">
      <c r="D91" s="1"/>
      <c r="H91" s="331"/>
    </row>
    <row r="92" spans="1:8" ht="12">
      <c r="A92" s="377" t="s">
        <v>356</v>
      </c>
      <c r="B92" s="377"/>
      <c r="C92" s="377"/>
      <c r="D92" s="377"/>
      <c r="E92" s="377"/>
      <c r="F92" s="377"/>
      <c r="G92" s="377"/>
      <c r="H92" s="377"/>
    </row>
    <row r="93" spans="1:8" ht="12">
      <c r="A93" s="346" t="s">
        <v>357</v>
      </c>
      <c r="B93" s="349" t="s">
        <v>373</v>
      </c>
      <c r="C93" s="379" t="s">
        <v>358</v>
      </c>
      <c r="D93" s="380"/>
      <c r="E93" s="379" t="s">
        <v>359</v>
      </c>
      <c r="F93" s="380"/>
      <c r="G93" s="310" t="s">
        <v>567</v>
      </c>
      <c r="H93" s="350" t="s">
        <v>360</v>
      </c>
    </row>
    <row r="94" spans="1:17" ht="12">
      <c r="A94" s="346" t="s">
        <v>362</v>
      </c>
      <c r="B94" s="332">
        <v>0</v>
      </c>
      <c r="C94" s="309"/>
      <c r="D94" s="311" t="s">
        <v>637</v>
      </c>
      <c r="E94" s="310">
        <v>0.236</v>
      </c>
      <c r="F94" s="310" t="s">
        <v>637</v>
      </c>
      <c r="G94" s="310">
        <v>2.63</v>
      </c>
      <c r="H94" s="312">
        <v>0</v>
      </c>
      <c r="J94" s="373" t="s">
        <v>568</v>
      </c>
      <c r="K94" s="373"/>
      <c r="L94" s="373"/>
      <c r="M94" s="373"/>
      <c r="N94" s="373"/>
      <c r="O94" s="373"/>
      <c r="P94" s="373"/>
      <c r="Q94" s="373"/>
    </row>
    <row r="95" spans="1:17" ht="12">
      <c r="A95" s="305"/>
      <c r="B95" s="333">
        <v>0.25</v>
      </c>
      <c r="C95" s="306"/>
      <c r="D95" s="1" t="s">
        <v>637</v>
      </c>
      <c r="E95">
        <v>0.262</v>
      </c>
      <c r="F95" t="s">
        <v>637</v>
      </c>
      <c r="G95">
        <v>2.63</v>
      </c>
      <c r="H95" s="307">
        <v>0</v>
      </c>
      <c r="J95" s="373" t="s">
        <v>569</v>
      </c>
      <c r="K95" s="373"/>
      <c r="L95" s="373"/>
      <c r="M95" s="373"/>
      <c r="N95" s="373"/>
      <c r="O95" s="373"/>
      <c r="P95" s="373"/>
      <c r="Q95" s="373"/>
    </row>
    <row r="96" spans="1:17" ht="12">
      <c r="A96" s="305"/>
      <c r="B96" s="333">
        <v>0.5</v>
      </c>
      <c r="C96" s="306"/>
      <c r="D96" s="1" t="s">
        <v>637</v>
      </c>
      <c r="E96">
        <v>0.288</v>
      </c>
      <c r="F96" t="s">
        <v>637</v>
      </c>
      <c r="G96">
        <v>2.63</v>
      </c>
      <c r="H96" s="307">
        <v>0</v>
      </c>
      <c r="J96" s="373" t="s">
        <v>570</v>
      </c>
      <c r="K96" s="373"/>
      <c r="L96" s="373"/>
      <c r="M96" s="373"/>
      <c r="N96" s="373"/>
      <c r="O96" s="373"/>
      <c r="P96" s="373"/>
      <c r="Q96" s="373"/>
    </row>
    <row r="97" spans="1:17" ht="12">
      <c r="A97" s="305"/>
      <c r="B97" s="333">
        <v>0.75</v>
      </c>
      <c r="C97" s="306"/>
      <c r="D97" s="1" t="s">
        <v>637</v>
      </c>
      <c r="E97">
        <v>0.314</v>
      </c>
      <c r="F97" t="s">
        <v>637</v>
      </c>
      <c r="G97">
        <v>2.63</v>
      </c>
      <c r="H97" s="307"/>
      <c r="J97" s="373" t="s">
        <v>571</v>
      </c>
      <c r="K97" s="373"/>
      <c r="L97" s="373"/>
      <c r="M97" s="373"/>
      <c r="N97" s="373"/>
      <c r="O97" s="373"/>
      <c r="P97" s="373"/>
      <c r="Q97" s="373"/>
    </row>
    <row r="98" spans="1:17" ht="12">
      <c r="A98" s="313"/>
      <c r="B98" s="334">
        <v>1</v>
      </c>
      <c r="C98" s="314"/>
      <c r="D98" s="316" t="s">
        <v>637</v>
      </c>
      <c r="E98" s="315">
        <v>0.34</v>
      </c>
      <c r="F98" s="315" t="s">
        <v>637</v>
      </c>
      <c r="G98" s="315">
        <v>2.63</v>
      </c>
      <c r="H98" s="317">
        <v>0</v>
      </c>
      <c r="J98" s="373" t="s">
        <v>572</v>
      </c>
      <c r="K98" s="373"/>
      <c r="L98" s="373"/>
      <c r="M98" s="373"/>
      <c r="N98" s="373"/>
      <c r="O98" s="373"/>
      <c r="P98" s="373"/>
      <c r="Q98" s="373"/>
    </row>
    <row r="99" spans="1:15" ht="12">
      <c r="A99" s="347" t="s">
        <v>361</v>
      </c>
      <c r="B99" s="333">
        <v>0</v>
      </c>
      <c r="C99" s="306"/>
      <c r="D99" s="1" t="s">
        <v>637</v>
      </c>
      <c r="E99">
        <v>0.311</v>
      </c>
      <c r="F99" t="s">
        <v>637</v>
      </c>
      <c r="G99">
        <v>2.63</v>
      </c>
      <c r="H99" s="307">
        <v>0</v>
      </c>
      <c r="J99" s="373" t="s">
        <v>573</v>
      </c>
      <c r="K99" s="373"/>
      <c r="L99" s="373"/>
      <c r="M99" s="373"/>
      <c r="N99" s="373"/>
      <c r="O99" s="373"/>
    </row>
    <row r="100" spans="1:16" ht="12">
      <c r="A100" s="305"/>
      <c r="B100" s="333">
        <v>0.25</v>
      </c>
      <c r="C100" s="306"/>
      <c r="D100" s="1" t="s">
        <v>637</v>
      </c>
      <c r="E100">
        <v>0.345</v>
      </c>
      <c r="F100" t="s">
        <v>637</v>
      </c>
      <c r="G100">
        <v>2.63</v>
      </c>
      <c r="H100" s="307">
        <v>0</v>
      </c>
      <c r="J100" s="373" t="s">
        <v>574</v>
      </c>
      <c r="K100" s="373"/>
      <c r="L100" s="373"/>
      <c r="M100" s="373"/>
      <c r="N100" s="373"/>
      <c r="O100" s="373"/>
      <c r="P100" s="373"/>
    </row>
    <row r="101" spans="1:16" ht="12">
      <c r="A101" s="305"/>
      <c r="B101" s="333">
        <v>0.5</v>
      </c>
      <c r="C101" s="306"/>
      <c r="D101" s="1" t="s">
        <v>637</v>
      </c>
      <c r="E101">
        <v>0.379</v>
      </c>
      <c r="F101" t="s">
        <v>637</v>
      </c>
      <c r="G101">
        <v>2.63</v>
      </c>
      <c r="H101" s="307">
        <v>0</v>
      </c>
      <c r="J101" s="373" t="s">
        <v>575</v>
      </c>
      <c r="K101" s="373"/>
      <c r="L101" s="373"/>
      <c r="M101" s="373"/>
      <c r="N101" s="373"/>
      <c r="O101" s="373"/>
      <c r="P101" s="373"/>
    </row>
    <row r="102" spans="1:14" ht="12">
      <c r="A102" s="305"/>
      <c r="B102" s="333">
        <v>0.75</v>
      </c>
      <c r="C102" s="306"/>
      <c r="D102" s="1" t="s">
        <v>637</v>
      </c>
      <c r="E102">
        <v>0.414</v>
      </c>
      <c r="F102" t="s">
        <v>637</v>
      </c>
      <c r="G102">
        <v>2.63</v>
      </c>
      <c r="H102" s="307">
        <v>0</v>
      </c>
      <c r="J102" s="373" t="s">
        <v>576</v>
      </c>
      <c r="K102" s="373"/>
      <c r="L102" s="373"/>
      <c r="M102" s="373"/>
      <c r="N102" s="373"/>
    </row>
    <row r="103" spans="1:18" ht="12">
      <c r="A103" s="313"/>
      <c r="B103" s="334">
        <v>1</v>
      </c>
      <c r="C103" s="314"/>
      <c r="D103" s="316" t="s">
        <v>637</v>
      </c>
      <c r="E103" s="315">
        <v>0.448</v>
      </c>
      <c r="F103" s="315" t="s">
        <v>637</v>
      </c>
      <c r="G103" s="315">
        <v>2.63</v>
      </c>
      <c r="H103" s="317">
        <v>0</v>
      </c>
      <c r="J103" s="373" t="s">
        <v>510</v>
      </c>
      <c r="K103" s="373"/>
      <c r="L103" s="373"/>
      <c r="M103" s="373"/>
      <c r="N103" s="373"/>
      <c r="O103" s="373"/>
      <c r="P103" s="373"/>
      <c r="Q103" s="373"/>
      <c r="R103" s="373"/>
    </row>
    <row r="104" spans="1:14" ht="12">
      <c r="A104" s="319" t="s">
        <v>338</v>
      </c>
      <c r="B104" s="320"/>
      <c r="C104" s="320"/>
      <c r="D104" s="321"/>
      <c r="E104" s="320"/>
      <c r="F104" s="320"/>
      <c r="G104" s="320"/>
      <c r="H104" s="322">
        <v>0</v>
      </c>
      <c r="J104" s="373" t="s">
        <v>511</v>
      </c>
      <c r="K104" s="373"/>
      <c r="L104" s="373"/>
      <c r="M104" s="373"/>
      <c r="N104" s="373"/>
    </row>
    <row r="105" spans="4:8" ht="12">
      <c r="D105" s="1"/>
      <c r="H105" s="331"/>
    </row>
    <row r="106" spans="4:8" ht="12">
      <c r="D106" s="1"/>
      <c r="H106" s="331"/>
    </row>
    <row r="107" spans="1:8" ht="12">
      <c r="A107" s="35" t="s">
        <v>365</v>
      </c>
      <c r="D107" s="1"/>
      <c r="H107" s="331"/>
    </row>
    <row r="108" spans="4:12" ht="12">
      <c r="D108" s="1"/>
      <c r="J108" s="373" t="s">
        <v>512</v>
      </c>
      <c r="K108" s="373"/>
      <c r="L108" s="373"/>
    </row>
    <row r="109" spans="1:18" ht="12">
      <c r="A109" s="377" t="s">
        <v>366</v>
      </c>
      <c r="B109" s="377"/>
      <c r="C109" s="377"/>
      <c r="D109" s="377"/>
      <c r="E109" s="377"/>
      <c r="F109" s="377"/>
      <c r="G109" s="377"/>
      <c r="H109" s="377"/>
      <c r="J109" s="373" t="s">
        <v>513</v>
      </c>
      <c r="K109" s="373"/>
      <c r="L109" s="373"/>
      <c r="M109" s="373"/>
      <c r="N109" s="373"/>
      <c r="O109" s="373"/>
      <c r="P109" s="373"/>
      <c r="Q109" s="373"/>
      <c r="R109" s="373"/>
    </row>
    <row r="110" spans="1:18" ht="12">
      <c r="A110" s="323" t="s">
        <v>369</v>
      </c>
      <c r="B110" s="320"/>
      <c r="C110" s="324" t="s">
        <v>372</v>
      </c>
      <c r="D110" s="325" t="s">
        <v>637</v>
      </c>
      <c r="E110" s="381" t="s">
        <v>653</v>
      </c>
      <c r="F110" s="381"/>
      <c r="G110" s="324"/>
      <c r="H110" s="326" t="s">
        <v>638</v>
      </c>
      <c r="J110" s="373" t="s">
        <v>514</v>
      </c>
      <c r="K110" s="373"/>
      <c r="L110" s="373"/>
      <c r="M110" s="373"/>
      <c r="N110" s="373"/>
      <c r="O110" s="373"/>
      <c r="P110" s="373"/>
      <c r="Q110" s="373"/>
      <c r="R110" s="373"/>
    </row>
    <row r="111" spans="1:18" ht="12">
      <c r="A111" s="347" t="s">
        <v>367</v>
      </c>
      <c r="C111" s="306"/>
      <c r="D111" s="1" t="s">
        <v>637</v>
      </c>
      <c r="E111" s="1">
        <v>0.04</v>
      </c>
      <c r="H111" s="307">
        <v>0</v>
      </c>
      <c r="J111" s="373" t="s">
        <v>515</v>
      </c>
      <c r="K111" s="373"/>
      <c r="L111" s="373"/>
      <c r="M111" s="373"/>
      <c r="N111" s="373"/>
      <c r="O111" s="373"/>
      <c r="P111" s="373"/>
      <c r="Q111" s="373"/>
      <c r="R111" s="373"/>
    </row>
    <row r="112" spans="1:17" ht="12">
      <c r="A112" s="351" t="s">
        <v>368</v>
      </c>
      <c r="B112" s="349" t="s">
        <v>370</v>
      </c>
      <c r="C112" s="309"/>
      <c r="D112" s="311" t="s">
        <v>637</v>
      </c>
      <c r="E112" s="311">
        <v>0.11</v>
      </c>
      <c r="F112" s="310"/>
      <c r="G112" s="310"/>
      <c r="H112" s="312">
        <v>0</v>
      </c>
      <c r="J112" s="373" t="s">
        <v>516</v>
      </c>
      <c r="K112" s="373"/>
      <c r="L112" s="373"/>
      <c r="M112" s="373"/>
      <c r="N112" s="373"/>
      <c r="O112" s="373"/>
      <c r="P112" s="373"/>
      <c r="Q112" s="373"/>
    </row>
    <row r="113" spans="1:14" ht="12">
      <c r="A113" s="313"/>
      <c r="B113" s="348" t="s">
        <v>371</v>
      </c>
      <c r="C113" s="314"/>
      <c r="D113" s="316" t="s">
        <v>637</v>
      </c>
      <c r="E113" s="316">
        <v>0.15</v>
      </c>
      <c r="F113" s="315"/>
      <c r="G113" s="315"/>
      <c r="H113" s="317">
        <v>0</v>
      </c>
      <c r="J113" s="373" t="s">
        <v>517</v>
      </c>
      <c r="K113" s="373"/>
      <c r="L113" s="373"/>
      <c r="M113" s="373"/>
      <c r="N113" s="373"/>
    </row>
    <row r="114" spans="1:18" ht="12">
      <c r="A114" s="319" t="s">
        <v>338</v>
      </c>
      <c r="B114" s="320"/>
      <c r="C114" s="320"/>
      <c r="D114" s="321"/>
      <c r="E114" s="320"/>
      <c r="F114" s="320"/>
      <c r="G114" s="320"/>
      <c r="H114" s="322">
        <v>0</v>
      </c>
      <c r="J114" s="373" t="s">
        <v>518</v>
      </c>
      <c r="K114" s="373"/>
      <c r="L114" s="373"/>
      <c r="M114" s="373"/>
      <c r="N114" s="373"/>
      <c r="O114" s="373"/>
      <c r="P114" s="373"/>
      <c r="Q114" s="373"/>
      <c r="R114" s="373"/>
    </row>
    <row r="115" spans="4:18" ht="12">
      <c r="D115" s="1"/>
      <c r="J115" s="373" t="s">
        <v>519</v>
      </c>
      <c r="K115" s="373"/>
      <c r="L115" s="373"/>
      <c r="M115" s="373"/>
      <c r="N115" s="373"/>
      <c r="O115" s="373"/>
      <c r="P115" s="373"/>
      <c r="Q115" s="373"/>
      <c r="R115" s="373"/>
    </row>
    <row r="116" ht="12">
      <c r="D116" s="1"/>
    </row>
    <row r="117" spans="1:4" ht="12">
      <c r="A117" s="376" t="s">
        <v>378</v>
      </c>
      <c r="B117" s="376"/>
      <c r="D117" s="1"/>
    </row>
    <row r="118" spans="1:18" ht="12">
      <c r="A118" s="352" t="s">
        <v>374</v>
      </c>
      <c r="B118" s="320"/>
      <c r="C118" s="320" t="s">
        <v>520</v>
      </c>
      <c r="D118" s="321" t="s">
        <v>637</v>
      </c>
      <c r="E118" s="320" t="s">
        <v>543</v>
      </c>
      <c r="F118" s="320"/>
      <c r="G118" s="320"/>
      <c r="H118" s="335" t="s">
        <v>638</v>
      </c>
      <c r="J118" s="373" t="s">
        <v>521</v>
      </c>
      <c r="K118" s="373"/>
      <c r="L118" s="373"/>
      <c r="M118" s="373"/>
      <c r="N118" s="373"/>
      <c r="O118" s="373"/>
      <c r="P118" s="373"/>
      <c r="Q118" s="373"/>
      <c r="R118" s="373"/>
    </row>
    <row r="119" spans="1:15" ht="12">
      <c r="A119" s="347" t="s">
        <v>367</v>
      </c>
      <c r="C119" s="306"/>
      <c r="D119" s="1" t="s">
        <v>637</v>
      </c>
      <c r="E119">
        <v>0.03</v>
      </c>
      <c r="H119" s="307">
        <v>0</v>
      </c>
      <c r="J119" s="373" t="s">
        <v>522</v>
      </c>
      <c r="K119" s="373"/>
      <c r="L119" s="373"/>
      <c r="M119" s="373"/>
      <c r="N119" s="373"/>
      <c r="O119" s="373"/>
    </row>
    <row r="120" spans="1:16" ht="12">
      <c r="A120" s="346" t="s">
        <v>375</v>
      </c>
      <c r="B120" s="349" t="s">
        <v>370</v>
      </c>
      <c r="C120" s="309"/>
      <c r="D120" s="311" t="s">
        <v>637</v>
      </c>
      <c r="E120" s="310">
        <v>0.57</v>
      </c>
      <c r="F120" s="310"/>
      <c r="G120" s="310"/>
      <c r="H120" s="312">
        <v>0</v>
      </c>
      <c r="J120" s="373" t="s">
        <v>523</v>
      </c>
      <c r="K120" s="373"/>
      <c r="L120" s="373"/>
      <c r="M120" s="373"/>
      <c r="N120" s="373"/>
      <c r="O120" s="373"/>
      <c r="P120" s="373"/>
    </row>
    <row r="121" spans="1:18" ht="12">
      <c r="A121" s="313"/>
      <c r="B121" s="348" t="s">
        <v>371</v>
      </c>
      <c r="C121" s="314"/>
      <c r="D121" s="316" t="s">
        <v>637</v>
      </c>
      <c r="E121" s="315">
        <v>1.58</v>
      </c>
      <c r="F121" s="315"/>
      <c r="G121" s="315"/>
      <c r="H121" s="317">
        <v>0</v>
      </c>
      <c r="J121" s="373" t="s">
        <v>524</v>
      </c>
      <c r="K121" s="373"/>
      <c r="L121" s="373"/>
      <c r="M121" s="373"/>
      <c r="N121" s="373"/>
      <c r="O121" s="373"/>
      <c r="P121" s="373"/>
      <c r="Q121" s="373"/>
      <c r="R121" s="373"/>
    </row>
    <row r="122" spans="1:15" ht="12">
      <c r="A122" s="347" t="s">
        <v>376</v>
      </c>
      <c r="B122" t="s">
        <v>525</v>
      </c>
      <c r="C122" s="306"/>
      <c r="D122" s="1" t="s">
        <v>637</v>
      </c>
      <c r="E122">
        <v>0.06</v>
      </c>
      <c r="H122" s="307">
        <v>0</v>
      </c>
      <c r="J122" s="373" t="s">
        <v>526</v>
      </c>
      <c r="K122" s="373"/>
      <c r="L122" s="373"/>
      <c r="M122" s="373"/>
      <c r="N122" s="373"/>
      <c r="O122" s="373"/>
    </row>
    <row r="123" spans="1:15" ht="12">
      <c r="A123" s="305"/>
      <c r="B123" t="s">
        <v>527</v>
      </c>
      <c r="C123" s="306"/>
      <c r="D123" s="1" t="s">
        <v>637</v>
      </c>
      <c r="E123">
        <v>0.02</v>
      </c>
      <c r="H123" s="307">
        <v>0</v>
      </c>
      <c r="J123" s="373" t="s">
        <v>528</v>
      </c>
      <c r="K123" s="373"/>
      <c r="L123" s="373"/>
      <c r="M123" s="373"/>
      <c r="N123" s="373"/>
      <c r="O123" s="373"/>
    </row>
    <row r="124" spans="1:15" ht="12">
      <c r="A124" s="305"/>
      <c r="B124" t="s">
        <v>546</v>
      </c>
      <c r="C124" s="306"/>
      <c r="D124" s="1" t="s">
        <v>637</v>
      </c>
      <c r="E124">
        <v>0.04</v>
      </c>
      <c r="H124" s="307">
        <v>0</v>
      </c>
      <c r="J124" s="373" t="s">
        <v>529</v>
      </c>
      <c r="K124" s="373"/>
      <c r="L124" s="373"/>
      <c r="M124" s="373"/>
      <c r="N124" s="373"/>
      <c r="O124" s="373"/>
    </row>
    <row r="125" spans="1:15" ht="12">
      <c r="A125" s="305"/>
      <c r="B125" t="s">
        <v>547</v>
      </c>
      <c r="C125" s="306"/>
      <c r="D125" s="1" t="s">
        <v>637</v>
      </c>
      <c r="E125">
        <v>0.003</v>
      </c>
      <c r="H125" s="307">
        <v>0</v>
      </c>
      <c r="J125" s="373" t="s">
        <v>530</v>
      </c>
      <c r="K125" s="373"/>
      <c r="L125" s="373"/>
      <c r="M125" s="373"/>
      <c r="N125" s="373"/>
      <c r="O125" s="373"/>
    </row>
    <row r="126" spans="1:16" ht="12">
      <c r="A126" s="305"/>
      <c r="B126" t="s">
        <v>544</v>
      </c>
      <c r="C126" s="306"/>
      <c r="D126" s="1" t="s">
        <v>637</v>
      </c>
      <c r="E126">
        <v>0.014</v>
      </c>
      <c r="H126" s="307"/>
      <c r="J126" s="373" t="s">
        <v>531</v>
      </c>
      <c r="K126" s="373"/>
      <c r="L126" s="373"/>
      <c r="M126" s="373"/>
      <c r="N126" s="373"/>
      <c r="O126" s="373"/>
      <c r="P126" s="373"/>
    </row>
    <row r="127" spans="1:16" ht="12">
      <c r="A127" s="313"/>
      <c r="B127" t="s">
        <v>545</v>
      </c>
      <c r="C127" s="314"/>
      <c r="D127" s="316" t="s">
        <v>637</v>
      </c>
      <c r="E127" s="315">
        <v>0.007</v>
      </c>
      <c r="F127" s="315"/>
      <c r="G127" s="315"/>
      <c r="H127" s="317">
        <v>0</v>
      </c>
      <c r="J127" s="373" t="s">
        <v>532</v>
      </c>
      <c r="K127" s="373"/>
      <c r="L127" s="373"/>
      <c r="M127" s="373"/>
      <c r="N127" s="373"/>
      <c r="O127" s="373"/>
      <c r="P127" s="373"/>
    </row>
    <row r="128" spans="1:8" ht="12">
      <c r="A128" s="319" t="s">
        <v>338</v>
      </c>
      <c r="B128" s="320"/>
      <c r="C128" s="320"/>
      <c r="D128" s="321"/>
      <c r="E128" s="320"/>
      <c r="F128" s="320"/>
      <c r="G128" s="320"/>
      <c r="H128" s="322">
        <v>0</v>
      </c>
    </row>
    <row r="129" ht="12">
      <c r="D129" s="1"/>
    </row>
    <row r="130" ht="12">
      <c r="D130" s="1"/>
    </row>
    <row r="131" spans="1:4" ht="12">
      <c r="A131" s="35" t="s">
        <v>377</v>
      </c>
      <c r="D131" s="1"/>
    </row>
    <row r="132" ht="12">
      <c r="D132" s="1"/>
    </row>
    <row r="133" spans="1:4" ht="12">
      <c r="A133" s="376" t="s">
        <v>379</v>
      </c>
      <c r="B133" s="376"/>
      <c r="D133" s="1"/>
    </row>
    <row r="134" spans="1:18" ht="12">
      <c r="A134" s="327" t="s">
        <v>380</v>
      </c>
      <c r="B134" s="328"/>
      <c r="C134" s="382" t="s">
        <v>533</v>
      </c>
      <c r="D134" s="382"/>
      <c r="E134" s="382"/>
      <c r="F134" s="382"/>
      <c r="G134" s="382"/>
      <c r="H134" s="382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</row>
    <row r="135" spans="1:18" ht="12">
      <c r="A135" s="336"/>
      <c r="B135" s="337"/>
      <c r="C135" s="338" t="s">
        <v>534</v>
      </c>
      <c r="D135" s="339" t="s">
        <v>535</v>
      </c>
      <c r="E135" s="339" t="s">
        <v>536</v>
      </c>
      <c r="F135" s="339" t="s">
        <v>537</v>
      </c>
      <c r="G135" s="339" t="s">
        <v>538</v>
      </c>
      <c r="H135" s="340" t="s">
        <v>539</v>
      </c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</row>
    <row r="136" spans="1:17" ht="12">
      <c r="A136" s="346" t="s">
        <v>267</v>
      </c>
      <c r="B136" s="350" t="s">
        <v>273</v>
      </c>
      <c r="C136" s="1" t="s">
        <v>540</v>
      </c>
      <c r="D136" s="1"/>
      <c r="E136" s="1"/>
      <c r="F136" s="1"/>
      <c r="G136" s="1"/>
      <c r="H136" s="53"/>
      <c r="J136" s="373" t="s">
        <v>541</v>
      </c>
      <c r="K136" s="373"/>
      <c r="L136" s="373"/>
      <c r="M136" s="373"/>
      <c r="N136" s="373"/>
      <c r="O136" s="373"/>
      <c r="P136" s="373"/>
      <c r="Q136" s="373"/>
    </row>
    <row r="137" spans="1:17" ht="12">
      <c r="A137" s="347" t="s">
        <v>381</v>
      </c>
      <c r="B137" s="353" t="s">
        <v>274</v>
      </c>
      <c r="C137" s="1" t="s">
        <v>540</v>
      </c>
      <c r="D137" s="1"/>
      <c r="E137" s="1"/>
      <c r="F137" s="1"/>
      <c r="G137" s="1"/>
      <c r="H137" s="53"/>
      <c r="J137" s="373" t="s">
        <v>474</v>
      </c>
      <c r="K137" s="373"/>
      <c r="L137" s="373"/>
      <c r="M137" s="373"/>
      <c r="N137" s="373"/>
      <c r="O137" s="373"/>
      <c r="P137" s="373"/>
      <c r="Q137" s="373"/>
    </row>
    <row r="138" spans="1:10" ht="12">
      <c r="A138" s="305"/>
      <c r="B138" s="353" t="s">
        <v>275</v>
      </c>
      <c r="C138" s="1" t="s">
        <v>540</v>
      </c>
      <c r="D138" s="1"/>
      <c r="E138" s="1"/>
      <c r="F138" s="1"/>
      <c r="G138" s="1"/>
      <c r="H138" s="53"/>
      <c r="J138" s="294" t="s">
        <v>475</v>
      </c>
    </row>
    <row r="139" spans="1:17" ht="12">
      <c r="A139" s="305"/>
      <c r="B139" s="353" t="s">
        <v>302</v>
      </c>
      <c r="C139" s="1" t="s">
        <v>540</v>
      </c>
      <c r="D139" s="1"/>
      <c r="E139" s="1"/>
      <c r="F139" s="1"/>
      <c r="G139" s="1"/>
      <c r="H139" s="53"/>
      <c r="J139" s="373" t="s">
        <v>476</v>
      </c>
      <c r="K139" s="373"/>
      <c r="L139" s="373"/>
      <c r="M139" s="373"/>
      <c r="N139" s="373"/>
      <c r="O139" s="373"/>
      <c r="P139" s="373"/>
      <c r="Q139" s="373"/>
    </row>
    <row r="140" spans="1:15" ht="12">
      <c r="A140" s="305"/>
      <c r="B140" s="353" t="s">
        <v>477</v>
      </c>
      <c r="C140" s="1" t="s">
        <v>540</v>
      </c>
      <c r="D140" s="1" t="s">
        <v>540</v>
      </c>
      <c r="E140" s="1"/>
      <c r="F140" s="1"/>
      <c r="G140" s="1"/>
      <c r="H140" s="53"/>
      <c r="J140" s="373" t="s">
        <v>478</v>
      </c>
      <c r="K140" s="373"/>
      <c r="L140" s="373"/>
      <c r="M140" s="373"/>
      <c r="N140" s="373"/>
      <c r="O140" s="373"/>
    </row>
    <row r="141" spans="1:17" ht="12">
      <c r="A141" s="347" t="s">
        <v>268</v>
      </c>
      <c r="B141" s="353" t="s">
        <v>276</v>
      </c>
      <c r="C141" s="1" t="s">
        <v>540</v>
      </c>
      <c r="D141" s="1" t="s">
        <v>540</v>
      </c>
      <c r="E141" s="1"/>
      <c r="F141" s="1"/>
      <c r="G141" s="1"/>
      <c r="H141" s="53"/>
      <c r="J141" s="373" t="s">
        <v>480</v>
      </c>
      <c r="K141" s="373"/>
      <c r="L141" s="373"/>
      <c r="M141" s="373"/>
      <c r="N141" s="373"/>
      <c r="O141" s="373"/>
      <c r="P141" s="373"/>
      <c r="Q141" s="373"/>
    </row>
    <row r="142" spans="1:17" ht="12">
      <c r="A142" s="347" t="s">
        <v>269</v>
      </c>
      <c r="B142" s="353" t="s">
        <v>277</v>
      </c>
      <c r="C142" s="1"/>
      <c r="D142" s="1"/>
      <c r="E142" s="1" t="s">
        <v>540</v>
      </c>
      <c r="F142" s="1"/>
      <c r="G142" s="1"/>
      <c r="H142" s="53"/>
      <c r="J142" s="373" t="s">
        <v>481</v>
      </c>
      <c r="K142" s="373"/>
      <c r="L142" s="373"/>
      <c r="M142" s="373"/>
      <c r="N142" s="373"/>
      <c r="O142" s="373"/>
      <c r="P142" s="373"/>
      <c r="Q142" s="373"/>
    </row>
    <row r="143" spans="1:16" ht="12">
      <c r="A143" s="305"/>
      <c r="B143" s="353" t="s">
        <v>278</v>
      </c>
      <c r="C143" s="1"/>
      <c r="D143" s="1"/>
      <c r="E143" s="1" t="s">
        <v>540</v>
      </c>
      <c r="F143" s="1"/>
      <c r="G143" s="1"/>
      <c r="H143" s="53"/>
      <c r="J143" s="373" t="s">
        <v>482</v>
      </c>
      <c r="K143" s="373"/>
      <c r="L143" s="373"/>
      <c r="M143" s="373"/>
      <c r="N143" s="373"/>
      <c r="O143" s="373"/>
      <c r="P143" s="373"/>
    </row>
    <row r="144" spans="1:17" ht="12">
      <c r="A144" s="305"/>
      <c r="B144" s="353" t="s">
        <v>279</v>
      </c>
      <c r="C144" s="1"/>
      <c r="D144" s="1"/>
      <c r="E144" s="1" t="s">
        <v>540</v>
      </c>
      <c r="F144" s="1"/>
      <c r="G144" s="1"/>
      <c r="H144" s="53"/>
      <c r="J144" s="373" t="s">
        <v>483</v>
      </c>
      <c r="K144" s="373"/>
      <c r="L144" s="373"/>
      <c r="M144" s="373"/>
      <c r="N144" s="373"/>
      <c r="O144" s="373"/>
      <c r="P144" s="373"/>
      <c r="Q144" s="373"/>
    </row>
    <row r="145" spans="1:17" ht="12">
      <c r="A145" s="305"/>
      <c r="B145" s="353" t="s">
        <v>280</v>
      </c>
      <c r="C145" s="1" t="s">
        <v>540</v>
      </c>
      <c r="D145" s="1" t="s">
        <v>540</v>
      </c>
      <c r="E145" s="1"/>
      <c r="F145" s="1"/>
      <c r="G145" s="1"/>
      <c r="H145" s="53"/>
      <c r="J145" s="373" t="s">
        <v>484</v>
      </c>
      <c r="K145" s="373"/>
      <c r="L145" s="373"/>
      <c r="M145" s="373"/>
      <c r="N145" s="373"/>
      <c r="O145" s="373"/>
      <c r="P145" s="373"/>
      <c r="Q145" s="373"/>
    </row>
    <row r="146" spans="1:8" ht="12">
      <c r="A146" s="305"/>
      <c r="B146" s="353" t="s">
        <v>485</v>
      </c>
      <c r="C146" s="1"/>
      <c r="D146" s="1"/>
      <c r="E146" s="1" t="s">
        <v>540</v>
      </c>
      <c r="F146" s="1"/>
      <c r="G146" s="1"/>
      <c r="H146" s="53"/>
    </row>
    <row r="147" spans="1:8" ht="12">
      <c r="A147" s="305"/>
      <c r="B147" s="353" t="s">
        <v>281</v>
      </c>
      <c r="C147" s="1"/>
      <c r="D147" s="1" t="s">
        <v>540</v>
      </c>
      <c r="E147" s="1"/>
      <c r="F147" s="1"/>
      <c r="G147" s="1"/>
      <c r="H147" s="53"/>
    </row>
    <row r="148" spans="1:8" ht="12">
      <c r="A148" s="347" t="s">
        <v>270</v>
      </c>
      <c r="B148" s="353" t="s">
        <v>282</v>
      </c>
      <c r="C148" s="1" t="s">
        <v>540</v>
      </c>
      <c r="D148" s="1" t="s">
        <v>540</v>
      </c>
      <c r="E148" s="1"/>
      <c r="F148" s="1"/>
      <c r="G148" s="1"/>
      <c r="H148" s="53"/>
    </row>
    <row r="149" spans="1:8" ht="12">
      <c r="A149" s="347" t="s">
        <v>269</v>
      </c>
      <c r="B149" s="291" t="s">
        <v>486</v>
      </c>
      <c r="C149" s="1" t="s">
        <v>540</v>
      </c>
      <c r="D149" s="1"/>
      <c r="E149" s="1"/>
      <c r="F149" s="1" t="s">
        <v>540</v>
      </c>
      <c r="G149" s="1"/>
      <c r="H149" s="53"/>
    </row>
    <row r="150" spans="1:8" ht="12">
      <c r="A150" s="305"/>
      <c r="B150" s="291" t="s">
        <v>487</v>
      </c>
      <c r="C150" s="1"/>
      <c r="D150" s="1"/>
      <c r="E150" s="1"/>
      <c r="F150" s="1"/>
      <c r="G150" s="1" t="s">
        <v>540</v>
      </c>
      <c r="H150" s="53" t="s">
        <v>540</v>
      </c>
    </row>
    <row r="151" spans="1:8" ht="12">
      <c r="A151" s="305"/>
      <c r="B151" s="353" t="s">
        <v>283</v>
      </c>
      <c r="C151" s="1" t="s">
        <v>540</v>
      </c>
      <c r="D151" s="1"/>
      <c r="E151" s="1"/>
      <c r="F151" s="1"/>
      <c r="G151" s="1"/>
      <c r="H151" s="53"/>
    </row>
    <row r="152" spans="1:8" ht="12">
      <c r="A152" s="347" t="s">
        <v>271</v>
      </c>
      <c r="B152" s="353" t="s">
        <v>284</v>
      </c>
      <c r="C152" s="1"/>
      <c r="D152" s="1" t="s">
        <v>540</v>
      </c>
      <c r="E152" s="1"/>
      <c r="F152" s="1"/>
      <c r="G152" s="1"/>
      <c r="H152" s="53"/>
    </row>
    <row r="153" spans="1:8" ht="12">
      <c r="A153" s="347" t="s">
        <v>269</v>
      </c>
      <c r="B153" s="353" t="s">
        <v>548</v>
      </c>
      <c r="C153" s="1" t="s">
        <v>540</v>
      </c>
      <c r="D153" s="1"/>
      <c r="E153" s="1"/>
      <c r="F153" s="1"/>
      <c r="G153" s="1"/>
      <c r="H153" s="53"/>
    </row>
    <row r="154" spans="1:8" ht="12">
      <c r="A154" s="305"/>
      <c r="B154" s="353" t="s">
        <v>285</v>
      </c>
      <c r="C154" s="1" t="s">
        <v>540</v>
      </c>
      <c r="D154" s="1" t="s">
        <v>540</v>
      </c>
      <c r="E154" s="1"/>
      <c r="F154" s="1"/>
      <c r="G154" s="1"/>
      <c r="H154" s="53"/>
    </row>
    <row r="155" spans="1:8" ht="12">
      <c r="A155" s="305"/>
      <c r="B155" s="353" t="s">
        <v>286</v>
      </c>
      <c r="C155" s="1" t="s">
        <v>540</v>
      </c>
      <c r="D155" s="1" t="s">
        <v>540</v>
      </c>
      <c r="E155" s="1"/>
      <c r="F155" s="1"/>
      <c r="G155" s="1"/>
      <c r="H155" s="53"/>
    </row>
    <row r="156" spans="1:8" ht="12">
      <c r="A156" s="305"/>
      <c r="B156" s="353" t="s">
        <v>287</v>
      </c>
      <c r="C156" s="1" t="s">
        <v>540</v>
      </c>
      <c r="D156" s="1" t="s">
        <v>540</v>
      </c>
      <c r="E156" s="1"/>
      <c r="F156" s="1"/>
      <c r="G156" s="1"/>
      <c r="H156" s="53"/>
    </row>
    <row r="157" spans="1:8" ht="12">
      <c r="A157" s="347" t="s">
        <v>272</v>
      </c>
      <c r="B157" s="353" t="s">
        <v>288</v>
      </c>
      <c r="C157" s="1"/>
      <c r="D157" s="1"/>
      <c r="E157" s="1"/>
      <c r="F157" s="1" t="s">
        <v>540</v>
      </c>
      <c r="G157" s="1"/>
      <c r="H157" s="53" t="s">
        <v>540</v>
      </c>
    </row>
    <row r="158" spans="1:8" ht="12">
      <c r="A158" s="305"/>
      <c r="B158" s="353" t="s">
        <v>289</v>
      </c>
      <c r="C158" s="1"/>
      <c r="D158" s="1"/>
      <c r="E158" s="1"/>
      <c r="F158" s="1" t="s">
        <v>540</v>
      </c>
      <c r="G158" s="1" t="s">
        <v>540</v>
      </c>
      <c r="H158" s="53" t="s">
        <v>540</v>
      </c>
    </row>
    <row r="159" spans="1:8" ht="12">
      <c r="A159" s="313"/>
      <c r="B159" s="354" t="s">
        <v>290</v>
      </c>
      <c r="C159" s="316" t="s">
        <v>540</v>
      </c>
      <c r="D159" s="316" t="s">
        <v>540</v>
      </c>
      <c r="E159" s="316"/>
      <c r="F159" s="316"/>
      <c r="G159" s="316"/>
      <c r="H159" s="341"/>
    </row>
    <row r="160" ht="12">
      <c r="D160" s="1"/>
    </row>
    <row r="161" spans="1:4" ht="12">
      <c r="A161" s="376" t="s">
        <v>291</v>
      </c>
      <c r="B161" s="376"/>
      <c r="D161" s="1"/>
    </row>
    <row r="162" spans="1:18" ht="24">
      <c r="A162" s="301" t="s">
        <v>533</v>
      </c>
      <c r="B162" s="302" t="s">
        <v>301</v>
      </c>
      <c r="C162" s="324"/>
      <c r="D162" s="303"/>
      <c r="E162" s="303" t="s">
        <v>549</v>
      </c>
      <c r="F162" s="324"/>
      <c r="G162" s="324"/>
      <c r="H162" s="304" t="s">
        <v>488</v>
      </c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</row>
    <row r="163" spans="1:17" ht="12">
      <c r="A163" s="305" t="s">
        <v>489</v>
      </c>
      <c r="B163" s="306"/>
      <c r="D163" s="1" t="s">
        <v>637</v>
      </c>
      <c r="E163" s="342">
        <v>1000</v>
      </c>
      <c r="G163" s="294"/>
      <c r="H163" s="307">
        <v>0</v>
      </c>
      <c r="J163" s="373" t="s">
        <v>490</v>
      </c>
      <c r="K163" s="373"/>
      <c r="L163" s="373"/>
      <c r="M163" s="373"/>
      <c r="N163" s="373"/>
      <c r="O163" s="373"/>
      <c r="P163" s="373"/>
      <c r="Q163" s="373"/>
    </row>
    <row r="164" spans="1:17" ht="12">
      <c r="A164" s="347" t="s">
        <v>292</v>
      </c>
      <c r="B164" s="306"/>
      <c r="D164" s="1" t="s">
        <v>637</v>
      </c>
      <c r="E164" s="342">
        <v>21000</v>
      </c>
      <c r="G164" s="294"/>
      <c r="H164" s="307">
        <v>0</v>
      </c>
      <c r="J164" s="373" t="s">
        <v>491</v>
      </c>
      <c r="K164" s="373"/>
      <c r="L164" s="373"/>
      <c r="M164" s="373"/>
      <c r="N164" s="373"/>
      <c r="O164" s="373"/>
      <c r="P164" s="373"/>
      <c r="Q164" s="373"/>
    </row>
    <row r="165" spans="1:17" ht="12">
      <c r="A165" s="347" t="s">
        <v>293</v>
      </c>
      <c r="B165" s="306"/>
      <c r="D165" s="1" t="s">
        <v>637</v>
      </c>
      <c r="E165" s="342">
        <v>310000</v>
      </c>
      <c r="H165" s="307">
        <v>0</v>
      </c>
      <c r="J165" s="373" t="s">
        <v>492</v>
      </c>
      <c r="K165" s="373"/>
      <c r="L165" s="373"/>
      <c r="M165" s="373"/>
      <c r="N165" s="373"/>
      <c r="O165" s="373"/>
      <c r="P165" s="373"/>
      <c r="Q165" s="373"/>
    </row>
    <row r="166" spans="1:17" ht="12">
      <c r="A166" s="305" t="s">
        <v>493</v>
      </c>
      <c r="B166" s="306"/>
      <c r="D166" s="1" t="s">
        <v>637</v>
      </c>
      <c r="E166" s="342">
        <v>2800000</v>
      </c>
      <c r="H166" s="307">
        <v>0</v>
      </c>
      <c r="J166" s="373" t="s">
        <v>494</v>
      </c>
      <c r="K166" s="373"/>
      <c r="L166" s="373"/>
      <c r="M166" s="373"/>
      <c r="N166" s="373"/>
      <c r="O166" s="373"/>
      <c r="P166" s="373"/>
      <c r="Q166" s="373"/>
    </row>
    <row r="167" spans="1:17" ht="12">
      <c r="A167" s="305" t="s">
        <v>495</v>
      </c>
      <c r="B167" s="306"/>
      <c r="D167" s="1" t="s">
        <v>637</v>
      </c>
      <c r="E167" s="342">
        <v>1000000</v>
      </c>
      <c r="H167" s="307">
        <v>0</v>
      </c>
      <c r="J167" s="373" t="s">
        <v>496</v>
      </c>
      <c r="K167" s="373"/>
      <c r="L167" s="373"/>
      <c r="M167" s="373"/>
      <c r="N167" s="373"/>
      <c r="O167" s="373"/>
      <c r="P167" s="373"/>
      <c r="Q167" s="373"/>
    </row>
    <row r="168" spans="1:17" ht="12">
      <c r="A168" s="305" t="s">
        <v>497</v>
      </c>
      <c r="B168" s="306"/>
      <c r="D168" s="1" t="s">
        <v>637</v>
      </c>
      <c r="E168" s="342">
        <v>1300000</v>
      </c>
      <c r="H168" s="307">
        <v>0</v>
      </c>
      <c r="J168" s="373" t="s">
        <v>498</v>
      </c>
      <c r="K168" s="373"/>
      <c r="L168" s="373"/>
      <c r="M168" s="373"/>
      <c r="N168" s="373"/>
      <c r="O168" s="373"/>
      <c r="P168" s="373"/>
      <c r="Q168" s="373"/>
    </row>
    <row r="169" spans="1:17" ht="12">
      <c r="A169" s="305" t="s">
        <v>499</v>
      </c>
      <c r="B169" s="306"/>
      <c r="D169" s="1" t="s">
        <v>637</v>
      </c>
      <c r="E169" s="342">
        <v>300000</v>
      </c>
      <c r="H169" s="307">
        <v>0</v>
      </c>
      <c r="J169" s="373" t="s">
        <v>500</v>
      </c>
      <c r="K169" s="373"/>
      <c r="L169" s="373"/>
      <c r="M169" s="373"/>
      <c r="N169" s="373"/>
      <c r="O169" s="373"/>
      <c r="P169" s="373"/>
      <c r="Q169" s="373"/>
    </row>
    <row r="170" spans="1:17" ht="12">
      <c r="A170" s="305" t="s">
        <v>501</v>
      </c>
      <c r="B170" s="306"/>
      <c r="D170" s="1" t="s">
        <v>637</v>
      </c>
      <c r="E170" s="342">
        <v>3800000</v>
      </c>
      <c r="H170" s="307">
        <v>0</v>
      </c>
      <c r="J170" s="373" t="s">
        <v>502</v>
      </c>
      <c r="K170" s="373"/>
      <c r="L170" s="373"/>
      <c r="M170" s="373"/>
      <c r="N170" s="373"/>
      <c r="O170" s="373"/>
      <c r="P170" s="373"/>
      <c r="Q170" s="373"/>
    </row>
    <row r="171" spans="1:17" ht="12">
      <c r="A171" s="305" t="s">
        <v>503</v>
      </c>
      <c r="B171" s="306"/>
      <c r="D171" s="1" t="s">
        <v>637</v>
      </c>
      <c r="E171" s="342">
        <v>140000</v>
      </c>
      <c r="H171" s="307">
        <v>0</v>
      </c>
      <c r="J171" s="373" t="s">
        <v>504</v>
      </c>
      <c r="K171" s="373"/>
      <c r="L171" s="373"/>
      <c r="M171" s="373"/>
      <c r="N171" s="373"/>
      <c r="O171" s="373"/>
      <c r="P171" s="373"/>
      <c r="Q171" s="373"/>
    </row>
    <row r="172" spans="1:10" ht="12">
      <c r="A172" s="305" t="s">
        <v>505</v>
      </c>
      <c r="B172" s="306"/>
      <c r="D172" s="1" t="s">
        <v>637</v>
      </c>
      <c r="E172" s="342">
        <v>2900000</v>
      </c>
      <c r="H172" s="307">
        <v>0</v>
      </c>
      <c r="J172" s="294" t="s">
        <v>506</v>
      </c>
    </row>
    <row r="173" spans="1:17" ht="12">
      <c r="A173" s="305" t="s">
        <v>507</v>
      </c>
      <c r="B173" s="306"/>
      <c r="D173" s="1" t="s">
        <v>637</v>
      </c>
      <c r="E173" s="342">
        <v>11700000</v>
      </c>
      <c r="H173" s="307">
        <v>0</v>
      </c>
      <c r="J173" s="373" t="s">
        <v>508</v>
      </c>
      <c r="K173" s="373"/>
      <c r="L173" s="373"/>
      <c r="M173" s="373"/>
      <c r="N173" s="373"/>
      <c r="O173" s="373"/>
      <c r="P173" s="373"/>
      <c r="Q173" s="373"/>
    </row>
    <row r="174" spans="1:17" ht="12">
      <c r="A174" s="305" t="s">
        <v>509</v>
      </c>
      <c r="B174" s="306"/>
      <c r="D174" s="1" t="s">
        <v>637</v>
      </c>
      <c r="E174" s="342">
        <v>6300000</v>
      </c>
      <c r="H174" s="307">
        <v>0</v>
      </c>
      <c r="J174" s="373" t="s">
        <v>448</v>
      </c>
      <c r="K174" s="373"/>
      <c r="L174" s="373"/>
      <c r="M174" s="373"/>
      <c r="N174" s="373"/>
      <c r="O174" s="373"/>
      <c r="P174" s="373"/>
      <c r="Q174" s="373"/>
    </row>
    <row r="175" spans="1:17" ht="12">
      <c r="A175" s="305" t="s">
        <v>449</v>
      </c>
      <c r="B175" s="306"/>
      <c r="D175" s="1" t="s">
        <v>637</v>
      </c>
      <c r="E175" s="342">
        <v>560000</v>
      </c>
      <c r="H175" s="307">
        <v>0</v>
      </c>
      <c r="J175" s="373" t="s">
        <v>450</v>
      </c>
      <c r="K175" s="373"/>
      <c r="L175" s="373"/>
      <c r="M175" s="373"/>
      <c r="N175" s="373"/>
      <c r="O175" s="373"/>
      <c r="P175" s="373"/>
      <c r="Q175" s="373"/>
    </row>
    <row r="176" spans="1:17" ht="12">
      <c r="A176" s="305" t="s">
        <v>451</v>
      </c>
      <c r="B176" s="306"/>
      <c r="D176" s="1" t="s">
        <v>637</v>
      </c>
      <c r="E176" s="342">
        <v>650000</v>
      </c>
      <c r="H176" s="307">
        <v>0</v>
      </c>
      <c r="J176" s="373" t="s">
        <v>452</v>
      </c>
      <c r="K176" s="373"/>
      <c r="L176" s="373"/>
      <c r="M176" s="373"/>
      <c r="N176" s="373"/>
      <c r="O176" s="373"/>
      <c r="P176" s="373"/>
      <c r="Q176" s="373"/>
    </row>
    <row r="177" spans="1:12" ht="12">
      <c r="A177" s="305" t="s">
        <v>453</v>
      </c>
      <c r="B177" s="306"/>
      <c r="D177" s="1" t="s">
        <v>637</v>
      </c>
      <c r="E177" s="342">
        <v>150000</v>
      </c>
      <c r="H177" s="307">
        <v>0</v>
      </c>
      <c r="J177" s="373" t="s">
        <v>454</v>
      </c>
      <c r="K177" s="373"/>
      <c r="L177" s="373"/>
    </row>
    <row r="178" spans="1:8" ht="12">
      <c r="A178" s="305" t="s">
        <v>455</v>
      </c>
      <c r="B178" s="306"/>
      <c r="D178" s="1" t="s">
        <v>637</v>
      </c>
      <c r="E178" s="342">
        <v>1300000</v>
      </c>
      <c r="H178" s="307">
        <v>0</v>
      </c>
    </row>
    <row r="179" spans="1:8" ht="12">
      <c r="A179" s="347" t="s">
        <v>294</v>
      </c>
      <c r="B179" s="306"/>
      <c r="D179" s="1" t="s">
        <v>637</v>
      </c>
      <c r="E179" s="342">
        <v>7000000</v>
      </c>
      <c r="H179" s="307">
        <v>0</v>
      </c>
    </row>
    <row r="180" spans="1:8" ht="12">
      <c r="A180" s="347" t="s">
        <v>295</v>
      </c>
      <c r="B180" s="306"/>
      <c r="D180" s="1" t="s">
        <v>637</v>
      </c>
      <c r="E180" s="342">
        <v>6500000</v>
      </c>
      <c r="F180" t="s">
        <v>456</v>
      </c>
      <c r="H180" s="307">
        <v>0</v>
      </c>
    </row>
    <row r="181" spans="1:8" ht="12">
      <c r="A181" s="347" t="s">
        <v>300</v>
      </c>
      <c r="B181" s="306"/>
      <c r="D181" s="1" t="s">
        <v>637</v>
      </c>
      <c r="E181" s="342">
        <v>7000000</v>
      </c>
      <c r="H181" s="307">
        <v>0</v>
      </c>
    </row>
    <row r="182" spans="1:8" ht="12">
      <c r="A182" s="347" t="s">
        <v>296</v>
      </c>
      <c r="B182" s="306"/>
      <c r="D182" s="1" t="s">
        <v>637</v>
      </c>
      <c r="E182" s="342">
        <v>7500000</v>
      </c>
      <c r="H182" s="307">
        <v>0</v>
      </c>
    </row>
    <row r="183" spans="1:8" ht="12">
      <c r="A183" s="347" t="s">
        <v>297</v>
      </c>
      <c r="B183" s="306"/>
      <c r="D183" s="1" t="s">
        <v>637</v>
      </c>
      <c r="E183" s="342">
        <v>8700000</v>
      </c>
      <c r="H183" s="307">
        <v>0</v>
      </c>
    </row>
    <row r="184" spans="1:8" ht="12">
      <c r="A184" s="347" t="s">
        <v>298</v>
      </c>
      <c r="B184" s="306"/>
      <c r="D184" s="1" t="s">
        <v>637</v>
      </c>
      <c r="E184" s="342">
        <v>9200000</v>
      </c>
      <c r="H184" s="307">
        <v>0</v>
      </c>
    </row>
    <row r="185" spans="1:8" ht="12">
      <c r="A185" s="347" t="s">
        <v>299</v>
      </c>
      <c r="B185" s="306"/>
      <c r="D185" s="1" t="s">
        <v>637</v>
      </c>
      <c r="E185" s="342">
        <v>7400000</v>
      </c>
      <c r="H185" s="307">
        <v>0</v>
      </c>
    </row>
    <row r="186" spans="1:8" ht="12">
      <c r="A186" s="313" t="s">
        <v>538</v>
      </c>
      <c r="B186" s="314"/>
      <c r="C186" s="315"/>
      <c r="D186" s="316" t="s">
        <v>637</v>
      </c>
      <c r="E186" s="343">
        <v>23900000</v>
      </c>
      <c r="F186" s="315"/>
      <c r="G186" s="315"/>
      <c r="H186" s="317">
        <v>0</v>
      </c>
    </row>
    <row r="187" spans="1:8" ht="12">
      <c r="A187" s="319" t="s">
        <v>338</v>
      </c>
      <c r="B187" s="320"/>
      <c r="C187" s="320"/>
      <c r="D187" s="321"/>
      <c r="E187" s="320"/>
      <c r="F187" s="320"/>
      <c r="G187" s="320"/>
      <c r="H187" s="322">
        <v>0</v>
      </c>
    </row>
    <row r="188" ht="12">
      <c r="D188" s="1"/>
    </row>
  </sheetData>
  <sheetProtection/>
  <mergeCells count="101">
    <mergeCell ref="J174:Q174"/>
    <mergeCell ref="J175:Q175"/>
    <mergeCell ref="J176:Q176"/>
    <mergeCell ref="J177:L177"/>
    <mergeCell ref="J169:Q169"/>
    <mergeCell ref="J170:Q170"/>
    <mergeCell ref="J171:Q171"/>
    <mergeCell ref="J173:Q173"/>
    <mergeCell ref="J165:Q165"/>
    <mergeCell ref="J166:Q166"/>
    <mergeCell ref="J167:Q167"/>
    <mergeCell ref="J168:Q168"/>
    <mergeCell ref="J145:Q145"/>
    <mergeCell ref="A161:B161"/>
    <mergeCell ref="J163:Q163"/>
    <mergeCell ref="J164:Q164"/>
    <mergeCell ref="J141:Q141"/>
    <mergeCell ref="J142:Q142"/>
    <mergeCell ref="J143:P143"/>
    <mergeCell ref="J144:Q144"/>
    <mergeCell ref="J136:Q136"/>
    <mergeCell ref="J137:Q137"/>
    <mergeCell ref="J139:Q139"/>
    <mergeCell ref="J140:O140"/>
    <mergeCell ref="J126:P126"/>
    <mergeCell ref="J127:P127"/>
    <mergeCell ref="A133:B133"/>
    <mergeCell ref="C134:H134"/>
    <mergeCell ref="J122:O122"/>
    <mergeCell ref="J123:O123"/>
    <mergeCell ref="J124:O124"/>
    <mergeCell ref="J125:O125"/>
    <mergeCell ref="J118:R118"/>
    <mergeCell ref="J119:O119"/>
    <mergeCell ref="J120:P120"/>
    <mergeCell ref="J121:R121"/>
    <mergeCell ref="J113:N113"/>
    <mergeCell ref="J114:R114"/>
    <mergeCell ref="J115:R115"/>
    <mergeCell ref="A117:B117"/>
    <mergeCell ref="E110:F110"/>
    <mergeCell ref="J110:R110"/>
    <mergeCell ref="J111:R111"/>
    <mergeCell ref="J112:Q112"/>
    <mergeCell ref="J103:R103"/>
    <mergeCell ref="J104:N104"/>
    <mergeCell ref="J108:L108"/>
    <mergeCell ref="A109:H109"/>
    <mergeCell ref="J109:R109"/>
    <mergeCell ref="J99:O99"/>
    <mergeCell ref="J100:P100"/>
    <mergeCell ref="J101:P101"/>
    <mergeCell ref="J102:N102"/>
    <mergeCell ref="J95:Q95"/>
    <mergeCell ref="J96:Q96"/>
    <mergeCell ref="J97:Q97"/>
    <mergeCell ref="J98:Q98"/>
    <mergeCell ref="A92:H92"/>
    <mergeCell ref="C93:D93"/>
    <mergeCell ref="E93:F93"/>
    <mergeCell ref="J94:Q94"/>
    <mergeCell ref="J84:Q84"/>
    <mergeCell ref="J85:Q85"/>
    <mergeCell ref="J86:Q86"/>
    <mergeCell ref="J87:K87"/>
    <mergeCell ref="J74:Q74"/>
    <mergeCell ref="J75:K75"/>
    <mergeCell ref="A82:H82"/>
    <mergeCell ref="E83:F83"/>
    <mergeCell ref="A70:H70"/>
    <mergeCell ref="E71:F71"/>
    <mergeCell ref="J72:Q72"/>
    <mergeCell ref="J73:Q73"/>
    <mergeCell ref="E63:F63"/>
    <mergeCell ref="J64:Q64"/>
    <mergeCell ref="J65:R65"/>
    <mergeCell ref="J66:O66"/>
    <mergeCell ref="J31:Q31"/>
    <mergeCell ref="J32:Q32"/>
    <mergeCell ref="J33:K33"/>
    <mergeCell ref="A62:E62"/>
    <mergeCell ref="J26:Q26"/>
    <mergeCell ref="J27:Q27"/>
    <mergeCell ref="J28:Q28"/>
    <mergeCell ref="J30:Q30"/>
    <mergeCell ref="J21:R21"/>
    <mergeCell ref="J22:K22"/>
    <mergeCell ref="J23:Q23"/>
    <mergeCell ref="J24:Q24"/>
    <mergeCell ref="J17:Q17"/>
    <mergeCell ref="J18:P18"/>
    <mergeCell ref="J19:Q19"/>
    <mergeCell ref="J20:Q20"/>
    <mergeCell ref="A7:B7"/>
    <mergeCell ref="A10:B10"/>
    <mergeCell ref="A13:B13"/>
    <mergeCell ref="A14:B14"/>
    <mergeCell ref="A1:I1"/>
    <mergeCell ref="A2:I2"/>
    <mergeCell ref="A4:I4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cricket sahara</cp:lastModifiedBy>
  <dcterms:created xsi:type="dcterms:W3CDTF">2008-01-18T12:56:59Z</dcterms:created>
  <dcterms:modified xsi:type="dcterms:W3CDTF">2008-01-22T11:02:36Z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