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codeName="ThisWorkbook" autoCompressPictures="0"/>
  <bookViews>
    <workbookView xWindow="3680" yWindow="5120" windowWidth="25600" windowHeight="16700"/>
  </bookViews>
  <sheets>
    <sheet name="VT - VE+VHR" sheetId="2" r:id="rId1"/>
    <sheet name="VT - VE" sheetId="1" r:id="rId2"/>
  </sheets>
  <definedNames>
    <definedName name="b20k" localSheetId="0">'VT - VE+VHR'!$C$34</definedName>
    <definedName name="b20k">'VT - VE'!$F$20</definedName>
    <definedName name="b40k" localSheetId="0">'VT - VE+VHR'!$C$33</definedName>
    <definedName name="b40k">'VT - VE'!$F$19</definedName>
    <definedName name="b7k" localSheetId="0">'VT - VE+VHR'!$C$35</definedName>
    <definedName name="b7k">'VT - VE'!$F$21</definedName>
    <definedName name="ckWh" localSheetId="0">'VT - VE+VHR'!$C$17</definedName>
    <definedName name="ckWh">'VT - VE'!$F$14</definedName>
    <definedName name="cobat" localSheetId="0">'VT - VE+VHR'!$C$20</definedName>
    <definedName name="cobat">'VT - VE'!$F$16</definedName>
    <definedName name="coel" localSheetId="0">'VT - VE+VHR'!$C$19</definedName>
    <definedName name="coel">'VT - VE'!$F$15</definedName>
    <definedName name="cons" localSheetId="0">'VT - VE+VHR'!$C$10</definedName>
    <definedName name="cons">'VT - VE'!$F$7</definedName>
    <definedName name="coth" localSheetId="0">'VT - VE+VHR'!$C$11</definedName>
    <definedName name="coth">'VT - VE'!$F$8</definedName>
    <definedName name="dvie" localSheetId="0">'VT - VE+VHR'!$C$39</definedName>
    <definedName name="dvie">'VT - VE'!$F$25</definedName>
    <definedName name="eqes" localSheetId="0">'VT - VE+VHR'!$C$12</definedName>
    <definedName name="eqes">'VT - VE'!$F$9</definedName>
    <definedName name="n20k" localSheetId="0">'VT - VE+VHR'!$B$34</definedName>
    <definedName name="n20k">'VT - VE'!$E$20</definedName>
    <definedName name="n40k" localSheetId="0">'VT - VE+VHR'!$B$33</definedName>
    <definedName name="n40k">'VT - VE'!$E$19</definedName>
    <definedName name="n7k" localSheetId="0">'VT - VE+VHR'!$B$35</definedName>
    <definedName name="n7k">'VT - VE'!$E$21</definedName>
    <definedName name="nbk" localSheetId="0">'VT - VE+VHR'!$C$6</definedName>
    <definedName name="nbk">'VT - VE'!$F$5</definedName>
    <definedName name="nbv" localSheetId="0">'VT - VE+VHR'!$C$4</definedName>
    <definedName name="nbv">'VT - VE'!$F$4</definedName>
    <definedName name="parc" localSheetId="0">'VT - VE+VHR'!$C$32</definedName>
    <definedName name="parc">'VT - VE'!$F$18</definedName>
    <definedName name="pkWh" localSheetId="0">'VT - VE+VHR'!$C$37</definedName>
    <definedName name="pkWh">'VT - VE'!$F$23</definedName>
    <definedName name="plit" localSheetId="0">'VT - VE+VHR'!$C$14</definedName>
    <definedName name="plit">'VT - VE'!$F$11</definedName>
    <definedName name="tip" localSheetId="0">'VT - VE+VHR'!$C$13</definedName>
    <definedName name="tip">'VT - VE'!$F$10</definedName>
    <definedName name="tkWh" localSheetId="0">'VT - VE+VHR'!$C$36</definedName>
    <definedName name="tkWh">'VT - VE'!$F$22</definedName>
    <definedName name="tvakWh" localSheetId="0">'VT - VE+VHR'!$B$37</definedName>
    <definedName name="tvakWh">'VT - VE'!$E$23</definedName>
    <definedName name="tval" localSheetId="0">'VT - VE+VHR'!$B$14</definedName>
    <definedName name="tval">'VT - VE'!$E$11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C54" i="2"/>
  <c r="N6" i="2"/>
  <c r="N7" i="2"/>
  <c r="N23" i="2"/>
  <c r="I47" i="2"/>
  <c r="H47" i="2"/>
  <c r="F18" i="2"/>
  <c r="N21" i="2"/>
  <c r="C59" i="2"/>
  <c r="C57" i="2"/>
  <c r="C58" i="2"/>
  <c r="I5" i="2"/>
  <c r="A63" i="2"/>
  <c r="A62" i="2"/>
  <c r="A61" i="2"/>
  <c r="C53" i="2"/>
  <c r="C52" i="2"/>
  <c r="C51" i="2"/>
  <c r="B37" i="2"/>
  <c r="A35" i="2"/>
  <c r="O34" i="2"/>
  <c r="A34" i="2"/>
  <c r="A33" i="2"/>
  <c r="C61" i="2"/>
  <c r="K33" i="2"/>
  <c r="N22" i="2"/>
  <c r="C60" i="2"/>
  <c r="I6" i="2"/>
  <c r="I7" i="2"/>
  <c r="I23" i="2"/>
  <c r="K28" i="2"/>
  <c r="C62" i="2"/>
  <c r="C63" i="2"/>
  <c r="I21" i="2"/>
  <c r="C55" i="2"/>
  <c r="C56" i="2"/>
  <c r="I4" i="2"/>
  <c r="I20" i="2"/>
  <c r="F33" i="2"/>
  <c r="F28" i="2"/>
  <c r="H15" i="2"/>
  <c r="N4" i="2"/>
  <c r="N9" i="2"/>
  <c r="N8" i="2"/>
  <c r="K38" i="2"/>
  <c r="I22" i="2"/>
  <c r="I24" i="2"/>
  <c r="H12" i="2"/>
  <c r="I8" i="2"/>
  <c r="I9" i="2"/>
  <c r="K34" i="2"/>
  <c r="N20" i="2"/>
  <c r="N24" i="2"/>
  <c r="F38" i="2"/>
  <c r="K39" i="2"/>
  <c r="K29" i="2"/>
  <c r="I16" i="1"/>
  <c r="K37" i="1"/>
  <c r="N24" i="1"/>
  <c r="I24" i="1"/>
  <c r="R20" i="1"/>
  <c r="K12" i="1"/>
  <c r="A21" i="1"/>
  <c r="A20" i="1"/>
  <c r="A19" i="1"/>
  <c r="E23" i="1"/>
  <c r="N28" i="1"/>
  <c r="P5" i="1"/>
  <c r="P19" i="1"/>
  <c r="K5" i="1"/>
  <c r="K19" i="1"/>
  <c r="E11" i="1"/>
  <c r="I28" i="1"/>
  <c r="K4" i="1"/>
  <c r="K18" i="1"/>
  <c r="P4" i="1"/>
  <c r="P18" i="1"/>
  <c r="R28" i="1"/>
  <c r="R24" i="1"/>
  <c r="P20" i="1"/>
  <c r="K20" i="1"/>
  <c r="R29" i="1"/>
  <c r="K9" i="1"/>
  <c r="K6" i="1"/>
  <c r="P6" i="1"/>
</calcChain>
</file>

<file path=xl/sharedStrings.xml><?xml version="1.0" encoding="utf-8"?>
<sst xmlns="http://schemas.openxmlformats.org/spreadsheetml/2006/main" count="179" uniqueCount="96">
  <si>
    <t>Nombre de véhicules</t>
  </si>
  <si>
    <t>Nombre de kilomètres annuels</t>
  </si>
  <si>
    <t>Paramètres modifiables</t>
  </si>
  <si>
    <t>Véhicules thermiques</t>
  </si>
  <si>
    <t>Véhicules électriques</t>
  </si>
  <si>
    <t>Consommation moyenne aux 100 km (litres)</t>
  </si>
  <si>
    <t>Consommation moyenne aux 100 km (kWh)</t>
  </si>
  <si>
    <t>Rejet CO2 (g/kWh)</t>
  </si>
  <si>
    <t>Equivalence énergétique essence (kWh/l)</t>
  </si>
  <si>
    <t>Ratio</t>
  </si>
  <si>
    <t>BILAN ECOLOGIQUE (t de CO2)</t>
  </si>
  <si>
    <t>Rejet CO2 (g/km)</t>
  </si>
  <si>
    <t>Consommation annuelle
VE (TWh)</t>
  </si>
  <si>
    <t>Conditions de charge</t>
  </si>
  <si>
    <r>
      <t>Puissance nécessaire (GW)
(</t>
    </r>
    <r>
      <rPr>
        <b/>
        <i/>
        <sz val="10"/>
        <color theme="1"/>
        <rFont val="Arial"/>
        <family val="2"/>
      </rPr>
      <t>selon hypothèses</t>
    </r>
    <r>
      <rPr>
        <b/>
        <sz val="10"/>
        <color theme="1"/>
        <rFont val="Arial"/>
        <family val="2"/>
      </rPr>
      <t>)
VE (TWh)</t>
    </r>
  </si>
  <si>
    <t>EPR sur un an : 12,8 TWh</t>
  </si>
  <si>
    <t>BILAN ENERGETIQUE (GWh)</t>
  </si>
  <si>
    <t>Pourcentage du parc en charge</t>
  </si>
  <si>
    <t>1/2 parc nucléaire !</t>
  </si>
  <si>
    <t>BILAN ANNUEL</t>
  </si>
  <si>
    <t>Véhicule thermique</t>
  </si>
  <si>
    <t>Véhicule électrique</t>
  </si>
  <si>
    <t>Production et fin de vie</t>
  </si>
  <si>
    <t>TAXES ANNUELLES PERCUES (hors TVA)</t>
  </si>
  <si>
    <t>ENERGIE NECESSAIRE A LA FABRICATION (MWh)</t>
  </si>
  <si>
    <t>TVA ANNUELLE PERCUE</t>
  </si>
  <si>
    <t>Prix litre essence (TTC)</t>
  </si>
  <si>
    <t>Prix kWh (HT)</t>
  </si>
  <si>
    <t>Différence</t>
  </si>
  <si>
    <t>nbv</t>
  </si>
  <si>
    <t>nbk</t>
  </si>
  <si>
    <t>coth</t>
  </si>
  <si>
    <t>eqes</t>
  </si>
  <si>
    <t>tip</t>
  </si>
  <si>
    <t>ckWh</t>
  </si>
  <si>
    <t>coel</t>
  </si>
  <si>
    <t>parc</t>
  </si>
  <si>
    <t>tkWh</t>
  </si>
  <si>
    <t>dvie</t>
  </si>
  <si>
    <t>cons</t>
  </si>
  <si>
    <t>tval / plit</t>
  </si>
  <si>
    <t>n40k / b40k</t>
  </si>
  <si>
    <t>n20k / b20k</t>
  </si>
  <si>
    <t>n7k / b7k</t>
  </si>
  <si>
    <t>tvakWh / pkWh</t>
  </si>
  <si>
    <t>Selon étude ADEME</t>
  </si>
  <si>
    <t>Taxes sur un kWh (TCFE + CSPE) HT</t>
  </si>
  <si>
    <t>Durée d'utilisation du véhicule</t>
  </si>
  <si>
    <t>Véhicule électrique (TCFE+CSPE)</t>
  </si>
  <si>
    <t>Véhicule thermique (TICPE)</t>
  </si>
  <si>
    <t>TICPE (sur un litre d'essence)</t>
  </si>
  <si>
    <t>Rejet CO2 fabrication batterie (kg/kWh)</t>
  </si>
  <si>
    <t>cobat</t>
  </si>
  <si>
    <t>EMPREINTE BATTERIE</t>
  </si>
  <si>
    <t>Capacité batterie</t>
  </si>
  <si>
    <t>Nb g CO2 / km</t>
  </si>
  <si>
    <t>Nombre de véhicules électriques</t>
  </si>
  <si>
    <t>Nombre de véhicules hybrides rechargeables</t>
  </si>
  <si>
    <t>Caluls intermédiares</t>
  </si>
  <si>
    <t>TVA sur un litre de carburant</t>
  </si>
  <si>
    <t>Véhicules électriques (VE)</t>
  </si>
  <si>
    <t>Véhicules thermiques (VT)</t>
  </si>
  <si>
    <t>Véhicules hybrides rechargeables (VHR)</t>
  </si>
  <si>
    <t>Conditions de charge (VE et VHR)</t>
  </si>
  <si>
    <t>Pourcentage de km effectués en thermique</t>
  </si>
  <si>
    <t>Pourcentage de km effectués en électrique (VHR)</t>
  </si>
  <si>
    <t>Usage en mode thermique</t>
  </si>
  <si>
    <t>Usage en mode électrique</t>
  </si>
  <si>
    <t>TVA sur un kWh</t>
  </si>
  <si>
    <t>Durée d'utilisation des véhicules</t>
  </si>
  <si>
    <t>Capacité de la batterie (kWh)</t>
  </si>
  <si>
    <t>Consommation VT annuelle (litres)</t>
  </si>
  <si>
    <t>Consommation VHR en thermique annuelle (litres)</t>
  </si>
  <si>
    <t>Consommation VE annuelle (GWh)</t>
  </si>
  <si>
    <t>Consommation VHR en électrique annuelle (GWh)</t>
  </si>
  <si>
    <t>Consommation VT annuelle (GWh)</t>
  </si>
  <si>
    <t>Consommation VHR en thermique annuelle (GWh)</t>
  </si>
  <si>
    <t>Véhicules électriques (VE + VHRel)</t>
  </si>
  <si>
    <t>Véhicules hybrides en thermique (VHRth)</t>
  </si>
  <si>
    <t>Parc VE + VHR</t>
  </si>
  <si>
    <t>Ratio VT / (VHR + VE)</t>
  </si>
  <si>
    <t>Gain en énergie VT - (VHR + VE)</t>
  </si>
  <si>
    <t>VHRth : VHR en mode thermique, VHRel : VHR en mode électrique</t>
  </si>
  <si>
    <t>Gain en CO2 VT - (VHR + VE)</t>
  </si>
  <si>
    <t>Nombre de VT ou de VE +VHR</t>
  </si>
  <si>
    <t>Différence :</t>
  </si>
  <si>
    <t>TCFE + CSPE (VE + VHRel) + TICPE (VHRth)</t>
  </si>
  <si>
    <t>TICPE (VT)</t>
  </si>
  <si>
    <t>ENSEMBLE DES TAXES PERCUES PAR AN</t>
  </si>
  <si>
    <t>VHR ???</t>
  </si>
  <si>
    <r>
      <t xml:space="preserve">Parc VE + VHR </t>
    </r>
    <r>
      <rPr>
        <b/>
        <sz val="11"/>
        <color theme="1"/>
        <rFont val="Arial"/>
        <family val="2"/>
      </rPr>
      <t>(essence + électricité)</t>
    </r>
  </si>
  <si>
    <r>
      <t>Parc VT</t>
    </r>
    <r>
      <rPr>
        <b/>
        <sz val="11"/>
        <color theme="1"/>
        <rFont val="Arial"/>
        <family val="2"/>
      </rPr>
      <t xml:space="preserve"> (essence)</t>
    </r>
  </si>
  <si>
    <t>Consommation annuelle
VE + VHRel (TWh)</t>
  </si>
  <si>
    <r>
      <t>Puissance nécessaire (GW)
(</t>
    </r>
    <r>
      <rPr>
        <b/>
        <i/>
        <sz val="10"/>
        <color theme="1"/>
        <rFont val="Arial"/>
        <family val="2"/>
      </rPr>
      <t>selon hypothèses</t>
    </r>
    <r>
      <rPr>
        <b/>
        <sz val="10"/>
        <color theme="1"/>
        <rFont val="Arial"/>
        <family val="2"/>
      </rPr>
      <t>)
VE + VHRel (TWh)</t>
    </r>
  </si>
  <si>
    <t>Capacité batterie (kWh)</t>
  </si>
  <si>
    <t>EPR sur un an (FC 80 %) : 11,2 TWh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</si>
</sst>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\ &quot;€&quot;"/>
    <numFmt numFmtId="167" formatCode="#,##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9" fontId="0" fillId="2" borderId="7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6" fontId="0" fillId="2" borderId="7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167" fontId="0" fillId="0" borderId="16" xfId="0" applyNumberFormat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16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6" fillId="0" borderId="26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3" fontId="1" fillId="0" borderId="39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3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44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3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7" fontId="6" fillId="0" borderId="26" xfId="0" applyNumberFormat="1" applyFont="1" applyBorder="1" applyAlignment="1">
      <alignment horizontal="center" vertical="center"/>
    </xf>
    <xf numFmtId="167" fontId="6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7" fontId="1" fillId="0" borderId="15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167" fontId="1" fillId="0" borderId="2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5"/>
  <sheetViews>
    <sheetView tabSelected="1" topLeftCell="A5" workbookViewId="0">
      <selection activeCell="A35" sqref="A35"/>
    </sheetView>
  </sheetViews>
  <sheetFormatPr baseColWidth="10" defaultRowHeight="12" outlineLevelRow="1" outlineLevelCol="1" x14ac:dyDescent="0"/>
  <cols>
    <col min="1" max="1" width="46" style="1" customWidth="1"/>
    <col min="2" max="2" width="11.5" style="1" hidden="1" customWidth="1" outlineLevel="1"/>
    <col min="3" max="3" width="10.83203125" style="1" collapsed="1"/>
    <col min="4" max="4" width="11.5" style="1" hidden="1" customWidth="1" outlineLevel="1"/>
    <col min="5" max="5" width="10.83203125" style="1" collapsed="1"/>
    <col min="6" max="6" width="10.83203125" style="1"/>
    <col min="7" max="7" width="14.6640625" style="1" customWidth="1"/>
    <col min="8" max="8" width="13" style="1" customWidth="1"/>
    <col min="9" max="9" width="10.83203125" style="1"/>
    <col min="10" max="10" width="1.5" style="1" customWidth="1"/>
    <col min="11" max="12" width="10.83203125" style="1"/>
    <col min="13" max="13" width="15.6640625" style="1" customWidth="1"/>
    <col min="14" max="14" width="13.6640625" style="1" bestFit="1" customWidth="1"/>
    <col min="15" max="16384" width="10.83203125" style="1"/>
  </cols>
  <sheetData>
    <row r="1" spans="1:14" ht="32.25" customHeight="1" thickBot="1"/>
    <row r="2" spans="1:14" ht="20" customHeight="1" thickBot="1">
      <c r="F2" s="76" t="s">
        <v>19</v>
      </c>
      <c r="G2" s="77"/>
      <c r="H2" s="77"/>
      <c r="I2" s="77"/>
      <c r="J2" s="77"/>
      <c r="K2" s="77"/>
      <c r="L2" s="77"/>
      <c r="M2" s="77"/>
      <c r="N2" s="86"/>
    </row>
    <row r="3" spans="1:14" ht="20" customHeight="1">
      <c r="A3" s="87" t="s">
        <v>2</v>
      </c>
      <c r="B3" s="88"/>
      <c r="C3" s="89"/>
      <c r="F3" s="83" t="s">
        <v>16</v>
      </c>
      <c r="G3" s="84"/>
      <c r="H3" s="84"/>
      <c r="I3" s="85"/>
      <c r="K3" s="83" t="s">
        <v>10</v>
      </c>
      <c r="L3" s="84"/>
      <c r="M3" s="84"/>
      <c r="N3" s="85"/>
    </row>
    <row r="4" spans="1:14" ht="20" customHeight="1">
      <c r="A4" s="20" t="s">
        <v>56</v>
      </c>
      <c r="B4" s="8"/>
      <c r="C4" s="6">
        <v>1000000</v>
      </c>
      <c r="D4" s="1" t="s">
        <v>29</v>
      </c>
      <c r="F4" s="5" t="s">
        <v>61</v>
      </c>
      <c r="G4" s="49"/>
      <c r="H4" s="50"/>
      <c r="I4" s="19">
        <f>C56</f>
        <v>10950</v>
      </c>
      <c r="K4" s="5" t="s">
        <v>61</v>
      </c>
      <c r="L4" s="49"/>
      <c r="M4" s="50"/>
      <c r="N4" s="19">
        <f>C51*nbk*coth/1000000</f>
        <v>1800000</v>
      </c>
    </row>
    <row r="5" spans="1:14" ht="20" customHeight="1">
      <c r="A5" s="20" t="s">
        <v>57</v>
      </c>
      <c r="B5" s="8"/>
      <c r="C5" s="6">
        <v>0</v>
      </c>
      <c r="F5" s="93" t="s">
        <v>78</v>
      </c>
      <c r="G5" s="94"/>
      <c r="H5" s="95"/>
      <c r="I5" s="19">
        <f>C58</f>
        <v>0</v>
      </c>
      <c r="K5" s="93" t="s">
        <v>78</v>
      </c>
      <c r="L5" s="94"/>
      <c r="M5" s="95"/>
      <c r="N5" s="19">
        <f>C5*(nbk*C23)*C27/1000000</f>
        <v>0</v>
      </c>
    </row>
    <row r="6" spans="1:14" ht="20" customHeight="1">
      <c r="A6" s="20" t="s">
        <v>1</v>
      </c>
      <c r="B6" s="8"/>
      <c r="C6" s="6">
        <v>15000</v>
      </c>
      <c r="D6" s="1" t="s">
        <v>30</v>
      </c>
      <c r="F6" s="93" t="s">
        <v>77</v>
      </c>
      <c r="G6" s="94"/>
      <c r="H6" s="95"/>
      <c r="I6" s="19">
        <f>C59+C60</f>
        <v>2400</v>
      </c>
      <c r="K6" s="93" t="s">
        <v>77</v>
      </c>
      <c r="L6" s="94"/>
      <c r="M6" s="95"/>
      <c r="N6" s="19">
        <f>(nbv*(nbk/100)*ckWh*coel/1000000)+(C5*(nbk/100*C54)*C29*coel/1000000)</f>
        <v>24000</v>
      </c>
    </row>
    <row r="7" spans="1:14" ht="20" customHeight="1">
      <c r="A7" s="20" t="s">
        <v>69</v>
      </c>
      <c r="B7" s="8"/>
      <c r="C7" s="6">
        <v>20</v>
      </c>
      <c r="F7" s="93" t="s">
        <v>79</v>
      </c>
      <c r="G7" s="94"/>
      <c r="H7" s="95"/>
      <c r="I7" s="41">
        <f>I5+I6</f>
        <v>2400</v>
      </c>
      <c r="K7" s="93" t="s">
        <v>79</v>
      </c>
      <c r="L7" s="94"/>
      <c r="M7" s="95"/>
      <c r="N7" s="41">
        <f>N5+N6</f>
        <v>24000</v>
      </c>
    </row>
    <row r="8" spans="1:14" ht="20" customHeight="1">
      <c r="A8" s="40"/>
      <c r="B8" s="33"/>
      <c r="C8" s="46"/>
      <c r="F8" s="90" t="s">
        <v>81</v>
      </c>
      <c r="G8" s="91"/>
      <c r="H8" s="92"/>
      <c r="I8" s="41">
        <f>I4-I7</f>
        <v>8550</v>
      </c>
      <c r="K8" s="90" t="s">
        <v>83</v>
      </c>
      <c r="L8" s="91"/>
      <c r="M8" s="92"/>
      <c r="N8" s="41">
        <f>N4-(N5+N6)</f>
        <v>1776000</v>
      </c>
    </row>
    <row r="9" spans="1:14" ht="20" customHeight="1" thickBot="1">
      <c r="A9" s="22" t="s">
        <v>61</v>
      </c>
      <c r="B9" s="9"/>
      <c r="C9" s="3"/>
      <c r="F9" s="80" t="s">
        <v>80</v>
      </c>
      <c r="G9" s="81"/>
      <c r="H9" s="82"/>
      <c r="I9" s="30">
        <f>I4/I7</f>
        <v>4.5625</v>
      </c>
      <c r="K9" s="80" t="s">
        <v>80</v>
      </c>
      <c r="L9" s="81"/>
      <c r="M9" s="82"/>
      <c r="N9" s="30">
        <f>N4/(N5+N6)</f>
        <v>75</v>
      </c>
    </row>
    <row r="10" spans="1:14" ht="20" customHeight="1">
      <c r="A10" s="20" t="s">
        <v>5</v>
      </c>
      <c r="B10" s="8"/>
      <c r="C10" s="7">
        <v>7.3</v>
      </c>
      <c r="D10" s="1" t="s">
        <v>39</v>
      </c>
      <c r="F10" s="54" t="s">
        <v>82</v>
      </c>
    </row>
    <row r="11" spans="1:14" ht="20" customHeight="1" thickBot="1">
      <c r="A11" s="20" t="s">
        <v>11</v>
      </c>
      <c r="B11" s="8"/>
      <c r="C11" s="6">
        <v>120</v>
      </c>
      <c r="D11" s="1" t="s">
        <v>31</v>
      </c>
    </row>
    <row r="12" spans="1:14" ht="20" customHeight="1">
      <c r="A12" s="20" t="s">
        <v>8</v>
      </c>
      <c r="B12" s="8"/>
      <c r="C12" s="6">
        <v>10</v>
      </c>
      <c r="D12" s="1" t="s">
        <v>32</v>
      </c>
      <c r="F12" s="96" t="s">
        <v>92</v>
      </c>
      <c r="G12" s="63"/>
      <c r="H12" s="99">
        <f>I6/1000</f>
        <v>2.4</v>
      </c>
      <c r="I12" s="100"/>
      <c r="J12" s="103" t="s">
        <v>95</v>
      </c>
      <c r="K12" s="104"/>
      <c r="L12" s="104"/>
      <c r="M12" s="104"/>
    </row>
    <row r="13" spans="1:14" ht="20" customHeight="1" thickBot="1">
      <c r="A13" s="20" t="s">
        <v>50</v>
      </c>
      <c r="B13" s="8"/>
      <c r="C13" s="15">
        <v>0.7</v>
      </c>
      <c r="D13" s="1" t="s">
        <v>33</v>
      </c>
      <c r="F13" s="97"/>
      <c r="G13" s="98"/>
      <c r="H13" s="101"/>
      <c r="I13" s="102"/>
      <c r="J13" s="103"/>
      <c r="K13" s="104"/>
      <c r="L13" s="104"/>
      <c r="M13" s="104"/>
    </row>
    <row r="14" spans="1:14" ht="20" customHeight="1" thickBot="1">
      <c r="A14" s="20" t="s">
        <v>26</v>
      </c>
      <c r="B14" s="26"/>
      <c r="C14" s="15">
        <v>1.5</v>
      </c>
      <c r="D14" s="1" t="s">
        <v>40</v>
      </c>
      <c r="F14" s="9"/>
      <c r="G14" s="9"/>
      <c r="H14" s="14"/>
      <c r="I14" s="14"/>
      <c r="J14" s="13"/>
      <c r="K14" s="13"/>
      <c r="L14" s="13"/>
    </row>
    <row r="15" spans="1:14" ht="20" customHeight="1">
      <c r="A15" s="20"/>
      <c r="B15" s="27"/>
      <c r="C15" s="2"/>
      <c r="F15" s="96" t="s">
        <v>93</v>
      </c>
      <c r="G15" s="63"/>
      <c r="H15" s="99">
        <f>((C51*b40k*n40k)+(C51*b20k*n20k)+(C51*b7k*n7k))/1000000*parc</f>
        <v>5.16</v>
      </c>
      <c r="I15" s="100"/>
      <c r="J15" s="103"/>
      <c r="K15" s="104"/>
      <c r="L15" s="104"/>
    </row>
    <row r="16" spans="1:14" ht="20" customHeight="1" thickBot="1">
      <c r="A16" s="22" t="s">
        <v>60</v>
      </c>
      <c r="B16" s="9"/>
      <c r="C16" s="3"/>
      <c r="F16" s="97"/>
      <c r="G16" s="98"/>
      <c r="H16" s="101"/>
      <c r="I16" s="102"/>
      <c r="J16" s="103"/>
      <c r="K16" s="104"/>
      <c r="L16" s="104"/>
    </row>
    <row r="17" spans="1:16" ht="20" customHeight="1" thickBot="1">
      <c r="A17" s="20" t="s">
        <v>6</v>
      </c>
      <c r="B17" s="27"/>
      <c r="C17" s="7">
        <v>16</v>
      </c>
      <c r="D17" s="1" t="s">
        <v>34</v>
      </c>
    </row>
    <row r="18" spans="1:16" ht="20" customHeight="1" thickBot="1">
      <c r="A18" s="20" t="s">
        <v>70</v>
      </c>
      <c r="B18" s="27"/>
      <c r="C18" s="7">
        <v>64</v>
      </c>
      <c r="F18" s="76" t="str">
        <f>"BILAN PLURIANNUEL ("&amp;C7&amp;" ANNEES)"</f>
        <v>BILAN PLURIANNUEL (20 ANNEES)</v>
      </c>
      <c r="G18" s="77"/>
      <c r="H18" s="77"/>
      <c r="I18" s="77"/>
      <c r="J18" s="77"/>
      <c r="K18" s="77"/>
      <c r="L18" s="77"/>
      <c r="M18" s="77"/>
      <c r="N18" s="86"/>
    </row>
    <row r="19" spans="1:16" ht="20" customHeight="1" thickBot="1">
      <c r="A19" s="20" t="s">
        <v>7</v>
      </c>
      <c r="B19" s="8"/>
      <c r="C19" s="6">
        <v>10</v>
      </c>
      <c r="D19" s="1" t="s">
        <v>35</v>
      </c>
      <c r="F19" s="83" t="s">
        <v>16</v>
      </c>
      <c r="G19" s="84"/>
      <c r="H19" s="84"/>
      <c r="I19" s="85"/>
      <c r="K19" s="83" t="s">
        <v>10</v>
      </c>
      <c r="L19" s="84"/>
      <c r="M19" s="84"/>
      <c r="N19" s="85"/>
    </row>
    <row r="20" spans="1:16" ht="20" customHeight="1">
      <c r="A20" s="32" t="s">
        <v>51</v>
      </c>
      <c r="B20" s="8"/>
      <c r="C20" s="6">
        <v>170</v>
      </c>
      <c r="D20" s="1" t="s">
        <v>52</v>
      </c>
      <c r="F20" s="55" t="s">
        <v>61</v>
      </c>
      <c r="G20" s="56"/>
      <c r="H20" s="57"/>
      <c r="I20" s="58">
        <f>I4*$C$7</f>
        <v>219000</v>
      </c>
      <c r="K20" s="55" t="s">
        <v>61</v>
      </c>
      <c r="L20" s="56"/>
      <c r="M20" s="57"/>
      <c r="N20" s="58">
        <f>N4*$C$7</f>
        <v>36000000</v>
      </c>
    </row>
    <row r="21" spans="1:16" ht="20" customHeight="1">
      <c r="A21" s="32"/>
      <c r="B21" s="8"/>
      <c r="C21" s="6"/>
      <c r="F21" s="51" t="s">
        <v>78</v>
      </c>
      <c r="G21" s="52"/>
      <c r="H21" s="53"/>
      <c r="I21" s="19">
        <f t="shared" ref="I21:I23" si="0">I5*$C$7</f>
        <v>0</v>
      </c>
      <c r="K21" s="51" t="s">
        <v>78</v>
      </c>
      <c r="L21" s="52"/>
      <c r="M21" s="53"/>
      <c r="N21" s="19">
        <f t="shared" ref="N21:N23" si="1">N5*$C$7</f>
        <v>0</v>
      </c>
    </row>
    <row r="22" spans="1:16" ht="20" customHeight="1">
      <c r="A22" s="22" t="s">
        <v>62</v>
      </c>
      <c r="B22" s="9"/>
      <c r="C22" s="3"/>
      <c r="F22" s="51" t="s">
        <v>77</v>
      </c>
      <c r="G22" s="52"/>
      <c r="H22" s="53"/>
      <c r="I22" s="19">
        <f t="shared" si="0"/>
        <v>48000</v>
      </c>
      <c r="K22" s="51" t="s">
        <v>77</v>
      </c>
      <c r="L22" s="52"/>
      <c r="M22" s="53"/>
      <c r="N22" s="19">
        <f t="shared" si="1"/>
        <v>480000</v>
      </c>
    </row>
    <row r="23" spans="1:16" ht="20" customHeight="1">
      <c r="A23" s="32" t="s">
        <v>64</v>
      </c>
      <c r="B23" s="8"/>
      <c r="C23" s="12">
        <v>0.5</v>
      </c>
      <c r="F23" s="51" t="s">
        <v>79</v>
      </c>
      <c r="G23" s="52"/>
      <c r="H23" s="53"/>
      <c r="I23" s="19">
        <f t="shared" si="0"/>
        <v>48000</v>
      </c>
      <c r="K23" s="51" t="s">
        <v>79</v>
      </c>
      <c r="L23" s="52"/>
      <c r="M23" s="53"/>
      <c r="N23" s="19">
        <f t="shared" si="1"/>
        <v>480000</v>
      </c>
    </row>
    <row r="24" spans="1:16" ht="20" customHeight="1" thickBot="1">
      <c r="A24" s="20" t="s">
        <v>70</v>
      </c>
      <c r="B24" s="27"/>
      <c r="C24" s="7">
        <v>20</v>
      </c>
      <c r="F24" s="80" t="s">
        <v>81</v>
      </c>
      <c r="G24" s="81"/>
      <c r="H24" s="82"/>
      <c r="I24" s="59">
        <f>I20-I23</f>
        <v>171000</v>
      </c>
      <c r="K24" s="80" t="s">
        <v>83</v>
      </c>
      <c r="L24" s="81"/>
      <c r="M24" s="82"/>
      <c r="N24" s="59">
        <f>N20-(N21+N22)</f>
        <v>35520000</v>
      </c>
    </row>
    <row r="25" spans="1:16" ht="20" customHeight="1" thickBot="1">
      <c r="A25" s="24" t="s">
        <v>66</v>
      </c>
      <c r="B25" s="27"/>
      <c r="C25" s="3"/>
    </row>
    <row r="26" spans="1:16" ht="20" customHeight="1" thickBot="1">
      <c r="A26" s="20" t="s">
        <v>5</v>
      </c>
      <c r="B26" s="8"/>
      <c r="C26" s="6">
        <v>8</v>
      </c>
      <c r="F26" s="76" t="s">
        <v>23</v>
      </c>
      <c r="G26" s="77"/>
      <c r="H26" s="77"/>
      <c r="I26" s="77"/>
      <c r="J26" s="77"/>
      <c r="K26" s="77"/>
      <c r="L26" s="77"/>
      <c r="M26" s="77"/>
      <c r="N26" s="86"/>
    </row>
    <row r="27" spans="1:16" ht="20" customHeight="1">
      <c r="A27" s="20" t="s">
        <v>11</v>
      </c>
      <c r="B27" s="8"/>
      <c r="C27" s="6">
        <v>120</v>
      </c>
      <c r="F27" s="64" t="s">
        <v>87</v>
      </c>
      <c r="G27" s="65"/>
      <c r="H27" s="65"/>
      <c r="I27" s="66"/>
      <c r="J27" s="31"/>
      <c r="K27" s="67" t="s">
        <v>86</v>
      </c>
      <c r="L27" s="68"/>
      <c r="M27" s="68"/>
      <c r="N27" s="69"/>
    </row>
    <row r="28" spans="1:16" ht="20" customHeight="1" thickBot="1">
      <c r="A28" s="24" t="s">
        <v>67</v>
      </c>
      <c r="B28" s="8"/>
      <c r="C28" s="3"/>
      <c r="F28" s="70">
        <f>(C51*nbk/100*cons*tip)</f>
        <v>766500000</v>
      </c>
      <c r="G28" s="71"/>
      <c r="H28" s="72"/>
      <c r="I28" s="73"/>
      <c r="J28" s="31"/>
      <c r="K28" s="74">
        <f>(nbv*nbk/100*ckWh*tkWh)+(C5*nbk/100*C54*C29*tkWh)+(C5*nbk*C23/100*C26*tip)</f>
        <v>72000000</v>
      </c>
      <c r="L28" s="72"/>
      <c r="M28" s="71"/>
      <c r="N28" s="75"/>
    </row>
    <row r="29" spans="1:16" ht="20" customHeight="1" thickBot="1">
      <c r="A29" s="20" t="s">
        <v>6</v>
      </c>
      <c r="B29" s="27"/>
      <c r="C29" s="7">
        <v>20</v>
      </c>
      <c r="G29" s="31"/>
      <c r="H29" s="76" t="s">
        <v>85</v>
      </c>
      <c r="I29" s="77"/>
      <c r="J29" s="29"/>
      <c r="K29" s="78">
        <f>F28-K28</f>
        <v>694500000</v>
      </c>
      <c r="L29" s="78"/>
      <c r="M29" s="79"/>
    </row>
    <row r="30" spans="1:16" ht="20" customHeight="1" thickBot="1">
      <c r="A30" s="32"/>
      <c r="B30" s="8"/>
      <c r="C30" s="2"/>
      <c r="G30" s="31"/>
      <c r="H30" s="31"/>
      <c r="I30" s="31"/>
      <c r="J30" s="31"/>
      <c r="K30" s="31"/>
      <c r="L30" s="31"/>
      <c r="M30" s="31"/>
      <c r="N30" s="31"/>
    </row>
    <row r="31" spans="1:16" ht="20" customHeight="1" thickBot="1">
      <c r="A31" s="24" t="s">
        <v>63</v>
      </c>
      <c r="B31" s="10"/>
      <c r="C31" s="2"/>
      <c r="F31" s="76" t="s">
        <v>25</v>
      </c>
      <c r="G31" s="77"/>
      <c r="H31" s="77"/>
      <c r="I31" s="77"/>
      <c r="J31" s="77"/>
      <c r="K31" s="77"/>
      <c r="L31" s="77"/>
      <c r="M31" s="77"/>
      <c r="N31" s="86"/>
      <c r="O31" s="106" t="s">
        <v>22</v>
      </c>
      <c r="P31" s="106"/>
    </row>
    <row r="32" spans="1:16" ht="20" customHeight="1">
      <c r="A32" s="20" t="s">
        <v>17</v>
      </c>
      <c r="B32" s="10"/>
      <c r="C32" s="12">
        <v>0.4</v>
      </c>
      <c r="D32" s="1" t="s">
        <v>36</v>
      </c>
      <c r="F32" s="64" t="s">
        <v>91</v>
      </c>
      <c r="G32" s="65"/>
      <c r="H32" s="65"/>
      <c r="I32" s="66"/>
      <c r="K32" s="64" t="s">
        <v>90</v>
      </c>
      <c r="L32" s="65"/>
      <c r="M32" s="65"/>
      <c r="N32" s="66"/>
      <c r="O32" s="107">
        <v>3.8</v>
      </c>
      <c r="P32" s="107"/>
    </row>
    <row r="33" spans="1:16" ht="20" customHeight="1" thickBot="1">
      <c r="A33" s="20" t="str">
        <f>"Pourcentage du parc sur des bornes à "&amp;n40k&amp;" kW"</f>
        <v>Pourcentage du parc sur des bornes à 40 kW</v>
      </c>
      <c r="B33" s="27">
        <v>40</v>
      </c>
      <c r="C33" s="12">
        <v>0.1</v>
      </c>
      <c r="D33" s="1" t="s">
        <v>41</v>
      </c>
      <c r="F33" s="70">
        <f>C51*nbk/100*cons*C52</f>
        <v>273750000</v>
      </c>
      <c r="G33" s="71"/>
      <c r="H33" s="71"/>
      <c r="I33" s="75"/>
      <c r="J33" s="17"/>
      <c r="K33" s="70">
        <f>(C5*nbk/100*C23*C26*C52)+(nbv*nbk/100*ckWh*C53)+(C5*nbk/100*C54*C29*C53)</f>
        <v>47999999.999999978</v>
      </c>
      <c r="L33" s="71"/>
      <c r="M33" s="71"/>
      <c r="N33" s="75"/>
      <c r="O33" s="107">
        <v>6.9</v>
      </c>
      <c r="P33" s="107"/>
    </row>
    <row r="34" spans="1:16" ht="20" customHeight="1" thickBot="1">
      <c r="A34" s="20" t="str">
        <f>"Pourcentage du parc sur des bornes à "&amp;n20k&amp;" kW"</f>
        <v>Pourcentage du parc sur des bornes à 20 kW</v>
      </c>
      <c r="B34" s="27">
        <v>20</v>
      </c>
      <c r="C34" s="12">
        <v>0.2</v>
      </c>
      <c r="D34" s="1" t="s">
        <v>42</v>
      </c>
      <c r="F34" s="108"/>
      <c r="G34" s="108"/>
      <c r="H34" s="76" t="s">
        <v>85</v>
      </c>
      <c r="I34" s="77"/>
      <c r="J34" s="29"/>
      <c r="K34" s="78">
        <f>F33-K33</f>
        <v>225750000.00000003</v>
      </c>
      <c r="L34" s="78"/>
      <c r="M34" s="79"/>
      <c r="N34" s="60"/>
      <c r="O34" s="105">
        <f>O32/O33</f>
        <v>0.55072463768115931</v>
      </c>
      <c r="P34" s="105"/>
    </row>
    <row r="35" spans="1:16" ht="20" customHeight="1" thickBot="1">
      <c r="A35" s="20" t="str">
        <f>"Pourcentage du parc sur des bornes à "&amp;n7k&amp;" kW"</f>
        <v>Pourcentage du parc sur des bornes à 7 kW</v>
      </c>
      <c r="B35" s="27">
        <v>7</v>
      </c>
      <c r="C35" s="12">
        <v>0.7</v>
      </c>
      <c r="D35" s="1" t="s">
        <v>43</v>
      </c>
    </row>
    <row r="36" spans="1:16" ht="20" customHeight="1" thickBot="1">
      <c r="A36" s="20" t="s">
        <v>46</v>
      </c>
      <c r="B36" s="8"/>
      <c r="C36" s="15">
        <v>0.03</v>
      </c>
      <c r="D36" s="1" t="s">
        <v>37</v>
      </c>
      <c r="F36" s="76" t="s">
        <v>88</v>
      </c>
      <c r="G36" s="77"/>
      <c r="H36" s="77"/>
      <c r="I36" s="77"/>
      <c r="J36" s="77"/>
      <c r="K36" s="77"/>
      <c r="L36" s="77"/>
      <c r="M36" s="77"/>
      <c r="N36" s="86"/>
    </row>
    <row r="37" spans="1:16" ht="20" customHeight="1">
      <c r="A37" s="20" t="s">
        <v>27</v>
      </c>
      <c r="B37" s="26">
        <f>(pkWh*1.2)-pkWh</f>
        <v>1.999999999999999E-2</v>
      </c>
      <c r="C37" s="15">
        <v>0.1</v>
      </c>
      <c r="D37" s="1" t="s">
        <v>44</v>
      </c>
      <c r="F37" s="64" t="s">
        <v>91</v>
      </c>
      <c r="G37" s="65"/>
      <c r="H37" s="65"/>
      <c r="I37" s="66"/>
      <c r="K37" s="64" t="s">
        <v>90</v>
      </c>
      <c r="L37" s="65"/>
      <c r="M37" s="65"/>
      <c r="N37" s="66"/>
    </row>
    <row r="38" spans="1:16" ht="20" customHeight="1" thickBot="1">
      <c r="A38" s="20"/>
      <c r="B38" s="27"/>
      <c r="C38" s="2"/>
      <c r="F38" s="70">
        <f>F28+F33</f>
        <v>1040250000</v>
      </c>
      <c r="G38" s="71"/>
      <c r="H38" s="71"/>
      <c r="I38" s="75"/>
      <c r="J38" s="17"/>
      <c r="K38" s="70">
        <f>K28+K33</f>
        <v>119999999.99999997</v>
      </c>
      <c r="L38" s="71"/>
      <c r="M38" s="71"/>
      <c r="N38" s="75"/>
    </row>
    <row r="39" spans="1:16" ht="20" customHeight="1" thickBot="1">
      <c r="A39" s="23"/>
      <c r="B39" s="11"/>
      <c r="C39" s="18"/>
      <c r="F39" s="108"/>
      <c r="G39" s="108"/>
      <c r="H39" s="76" t="s">
        <v>85</v>
      </c>
      <c r="I39" s="77"/>
      <c r="J39" s="29"/>
      <c r="K39" s="78">
        <f>F38-K38</f>
        <v>920250000</v>
      </c>
      <c r="L39" s="78"/>
      <c r="M39" s="79"/>
      <c r="N39" s="60"/>
      <c r="O39" s="110"/>
      <c r="P39" s="110"/>
    </row>
    <row r="40" spans="1:16" ht="20" customHeight="1" thickBot="1"/>
    <row r="41" spans="1:16" ht="20" customHeight="1" thickBot="1">
      <c r="F41" s="76" t="s">
        <v>24</v>
      </c>
      <c r="G41" s="77"/>
      <c r="H41" s="77"/>
      <c r="I41" s="77"/>
      <c r="J41" s="77"/>
      <c r="K41" s="77"/>
      <c r="L41" s="77"/>
      <c r="M41" s="77"/>
      <c r="N41" s="86"/>
    </row>
    <row r="42" spans="1:16" ht="20" customHeight="1">
      <c r="F42" s="64" t="s">
        <v>20</v>
      </c>
      <c r="G42" s="65"/>
      <c r="H42" s="65"/>
      <c r="I42" s="66"/>
      <c r="K42" s="64" t="s">
        <v>21</v>
      </c>
      <c r="L42" s="65"/>
      <c r="M42" s="65"/>
      <c r="N42" s="66"/>
      <c r="O42" s="103" t="s">
        <v>45</v>
      </c>
      <c r="P42" s="104"/>
    </row>
    <row r="43" spans="1:16" ht="20" customHeight="1" thickBot="1">
      <c r="F43" s="111">
        <v>20</v>
      </c>
      <c r="G43" s="112"/>
      <c r="H43" s="112"/>
      <c r="I43" s="113"/>
      <c r="J43" s="25"/>
      <c r="K43" s="111">
        <v>33</v>
      </c>
      <c r="L43" s="112"/>
      <c r="M43" s="112"/>
      <c r="N43" s="113"/>
      <c r="O43" s="103"/>
      <c r="P43" s="104"/>
    </row>
    <row r="44" spans="1:16" ht="20" customHeight="1" thickBot="1">
      <c r="L44" s="114" t="s">
        <v>89</v>
      </c>
      <c r="M44" s="114"/>
    </row>
    <row r="45" spans="1:16" ht="20" customHeight="1" thickBot="1">
      <c r="F45" s="76" t="s">
        <v>53</v>
      </c>
      <c r="G45" s="77"/>
      <c r="H45" s="77"/>
      <c r="I45" s="86"/>
      <c r="L45" s="61"/>
      <c r="M45" s="61"/>
    </row>
    <row r="46" spans="1:16" ht="20" customHeight="1">
      <c r="F46" s="62" t="s">
        <v>94</v>
      </c>
      <c r="G46" s="63"/>
      <c r="H46" s="36">
        <v>20</v>
      </c>
      <c r="I46" s="37">
        <v>40</v>
      </c>
      <c r="L46" s="61"/>
      <c r="M46" s="61"/>
    </row>
    <row r="47" spans="1:16" ht="20" customHeight="1" thickBot="1">
      <c r="F47" s="80" t="s">
        <v>55</v>
      </c>
      <c r="G47" s="81"/>
      <c r="H47" s="38">
        <f>H46*(cobat*1000)/(nbk*C7)</f>
        <v>11.333333333333334</v>
      </c>
      <c r="I47" s="39">
        <f>I46*(cobat*1000)/(nbk*C7)</f>
        <v>22.666666666666668</v>
      </c>
    </row>
    <row r="48" spans="1:16" ht="20" customHeight="1"/>
    <row r="49" spans="1:16" ht="20" customHeight="1">
      <c r="F49" s="115"/>
      <c r="G49" s="115"/>
      <c r="H49" s="115"/>
      <c r="I49" s="115"/>
      <c r="K49" s="115"/>
      <c r="L49" s="115"/>
      <c r="M49" s="115"/>
      <c r="N49" s="115"/>
      <c r="O49" s="108"/>
      <c r="P49" s="108"/>
    </row>
    <row r="50" spans="1:16" ht="20" hidden="1" customHeight="1" outlineLevel="1">
      <c r="A50" s="87" t="s">
        <v>58</v>
      </c>
      <c r="B50" s="88"/>
      <c r="C50" s="89"/>
      <c r="F50" s="109"/>
      <c r="G50" s="109"/>
      <c r="H50" s="109"/>
      <c r="I50" s="109"/>
      <c r="J50" s="28"/>
      <c r="K50" s="109"/>
      <c r="L50" s="109"/>
      <c r="M50" s="109"/>
      <c r="N50" s="109"/>
      <c r="O50" s="110"/>
      <c r="P50" s="110"/>
    </row>
    <row r="51" spans="1:16" ht="20" hidden="1" customHeight="1" outlineLevel="1">
      <c r="A51" s="21" t="s">
        <v>84</v>
      </c>
      <c r="B51" s="43"/>
      <c r="C51" s="44">
        <f>nbv+C5</f>
        <v>1000000</v>
      </c>
      <c r="O51" s="110"/>
      <c r="P51" s="110"/>
    </row>
    <row r="52" spans="1:16" ht="20" hidden="1" customHeight="1" outlineLevel="1">
      <c r="A52" s="43" t="s">
        <v>59</v>
      </c>
      <c r="B52" s="43"/>
      <c r="C52" s="45">
        <f>plit-(plit/1.2)</f>
        <v>0.25</v>
      </c>
    </row>
    <row r="53" spans="1:16" ht="20" hidden="1" customHeight="1" outlineLevel="1">
      <c r="A53" s="35" t="s">
        <v>68</v>
      </c>
      <c r="B53" s="43"/>
      <c r="C53" s="45">
        <f>(pkWh*1.2)-pkWh</f>
        <v>1.999999999999999E-2</v>
      </c>
    </row>
    <row r="54" spans="1:16" ht="20" hidden="1" customHeight="1" outlineLevel="1">
      <c r="A54" s="32" t="s">
        <v>65</v>
      </c>
      <c r="B54" s="43"/>
      <c r="C54" s="47">
        <f>1-C23</f>
        <v>0.5</v>
      </c>
    </row>
    <row r="55" spans="1:16" ht="20" hidden="1" customHeight="1" outlineLevel="1">
      <c r="A55" s="43" t="s">
        <v>71</v>
      </c>
      <c r="B55" s="43"/>
      <c r="C55" s="43">
        <f>C51*nbk*cons/100</f>
        <v>1095000000</v>
      </c>
      <c r="P55" s="54"/>
    </row>
    <row r="56" spans="1:16" ht="20" hidden="1" customHeight="1" outlineLevel="1">
      <c r="A56" s="43" t="s">
        <v>75</v>
      </c>
      <c r="B56" s="43"/>
      <c r="C56" s="43">
        <f>C55*(eqes/1000000)</f>
        <v>10950</v>
      </c>
      <c r="P56" s="54"/>
    </row>
    <row r="57" spans="1:16" ht="20" hidden="1" customHeight="1" outlineLevel="1">
      <c r="A57" s="43" t="s">
        <v>72</v>
      </c>
      <c r="B57" s="43"/>
      <c r="C57" s="43">
        <f>C5*nbk*C23*C26/100</f>
        <v>0</v>
      </c>
      <c r="P57" s="54"/>
    </row>
    <row r="58" spans="1:16" ht="20" hidden="1" customHeight="1" outlineLevel="1">
      <c r="A58" s="43" t="s">
        <v>76</v>
      </c>
      <c r="B58" s="43"/>
      <c r="C58" s="43">
        <f>C57*(eqes/1000000)</f>
        <v>0</v>
      </c>
      <c r="F58" s="48"/>
      <c r="G58" s="48"/>
      <c r="H58" s="48"/>
      <c r="I58" s="48"/>
      <c r="J58" s="42"/>
      <c r="K58" s="48"/>
      <c r="L58" s="48"/>
      <c r="M58" s="48"/>
      <c r="N58" s="48"/>
      <c r="O58" s="13"/>
      <c r="P58" s="13"/>
    </row>
    <row r="59" spans="1:16" ht="20" hidden="1" customHeight="1" outlineLevel="1">
      <c r="A59" s="43" t="s">
        <v>73</v>
      </c>
      <c r="B59" s="43"/>
      <c r="C59" s="43">
        <f>(nbv*nbk*(ckWh/100)/1000000)</f>
        <v>2400</v>
      </c>
    </row>
    <row r="60" spans="1:16" ht="20" hidden="1" customHeight="1" outlineLevel="1">
      <c r="A60" s="43" t="s">
        <v>74</v>
      </c>
      <c r="B60" s="43"/>
      <c r="C60" s="43">
        <f>(C5*C54*nbk*(C29/100)/1000000)</f>
        <v>0</v>
      </c>
      <c r="J60" s="34"/>
      <c r="K60" s="34"/>
      <c r="L60" s="34"/>
      <c r="M60" s="34"/>
      <c r="N60" s="34"/>
    </row>
    <row r="61" spans="1:16" ht="20" hidden="1" customHeight="1" outlineLevel="1">
      <c r="A61" s="20" t="str">
        <f>"Nb véhicules en charge sur des bornes à "&amp;n40k&amp;" kW"</f>
        <v>Nb véhicules en charge sur des bornes à 40 kW</v>
      </c>
      <c r="B61" s="43"/>
      <c r="C61" s="43">
        <f>(nbv+($C$5*$C$54))*b40k</f>
        <v>100000</v>
      </c>
      <c r="F61" s="48"/>
      <c r="G61" s="48"/>
      <c r="H61" s="48"/>
      <c r="I61" s="48"/>
    </row>
    <row r="62" spans="1:16" ht="20" hidden="1" customHeight="1" outlineLevel="1">
      <c r="A62" s="20" t="str">
        <f>"Nb véhicules en charge sur des bornes à "&amp;n20k&amp;" kW"</f>
        <v>Nb véhicules en charge sur des bornes à 20 kW</v>
      </c>
      <c r="B62" s="43"/>
      <c r="C62" s="43">
        <f>(nbv+($C$5*$C$54))*b20k</f>
        <v>200000</v>
      </c>
    </row>
    <row r="63" spans="1:16" ht="20" hidden="1" customHeight="1" outlineLevel="1">
      <c r="A63" s="20" t="str">
        <f>"Nb véhicules en charge sur des bornes à "&amp;n7k&amp;" kW"</f>
        <v>Nb véhicules en charge sur des bornes à 7 kW</v>
      </c>
      <c r="B63" s="43"/>
      <c r="C63" s="43">
        <f>(nbv+($C$5*$C$54))*b7k</f>
        <v>700000</v>
      </c>
    </row>
    <row r="64" spans="1:16" ht="20" hidden="1" customHeight="1" outlineLevel="1">
      <c r="A64" s="43"/>
      <c r="B64" s="43"/>
      <c r="C64" s="43"/>
    </row>
    <row r="65" collapsed="1"/>
  </sheetData>
  <mergeCells count="71">
    <mergeCell ref="A50:C50"/>
    <mergeCell ref="O51:P51"/>
    <mergeCell ref="F5:H5"/>
    <mergeCell ref="F6:H6"/>
    <mergeCell ref="F7:H7"/>
    <mergeCell ref="F49:I49"/>
    <mergeCell ref="K49:N49"/>
    <mergeCell ref="F36:N36"/>
    <mergeCell ref="F34:G34"/>
    <mergeCell ref="H34:I34"/>
    <mergeCell ref="J12:M13"/>
    <mergeCell ref="F37:I37"/>
    <mergeCell ref="K37:N37"/>
    <mergeCell ref="F39:G39"/>
    <mergeCell ref="H39:I39"/>
    <mergeCell ref="K39:M39"/>
    <mergeCell ref="O49:P49"/>
    <mergeCell ref="F50:I50"/>
    <mergeCell ref="K50:N50"/>
    <mergeCell ref="O50:P50"/>
    <mergeCell ref="F38:I38"/>
    <mergeCell ref="K38:N38"/>
    <mergeCell ref="O39:P39"/>
    <mergeCell ref="F41:N41"/>
    <mergeCell ref="F42:I42"/>
    <mergeCell ref="K42:N42"/>
    <mergeCell ref="F43:I43"/>
    <mergeCell ref="K43:N43"/>
    <mergeCell ref="F47:G47"/>
    <mergeCell ref="L44:M44"/>
    <mergeCell ref="O42:P43"/>
    <mergeCell ref="F45:I45"/>
    <mergeCell ref="O34:P34"/>
    <mergeCell ref="O31:P31"/>
    <mergeCell ref="O32:P32"/>
    <mergeCell ref="O33:P33"/>
    <mergeCell ref="F31:N31"/>
    <mergeCell ref="F32:I32"/>
    <mergeCell ref="K32:N32"/>
    <mergeCell ref="F33:I33"/>
    <mergeCell ref="K33:N33"/>
    <mergeCell ref="K34:M34"/>
    <mergeCell ref="F2:N2"/>
    <mergeCell ref="F15:G16"/>
    <mergeCell ref="H15:I16"/>
    <mergeCell ref="J15:L16"/>
    <mergeCell ref="F12:G13"/>
    <mergeCell ref="H12:I13"/>
    <mergeCell ref="F18:N18"/>
    <mergeCell ref="A3:C3"/>
    <mergeCell ref="F3:I3"/>
    <mergeCell ref="K3:N3"/>
    <mergeCell ref="F9:H9"/>
    <mergeCell ref="F8:H8"/>
    <mergeCell ref="K5:M5"/>
    <mergeCell ref="K6:M6"/>
    <mergeCell ref="K7:M7"/>
    <mergeCell ref="K8:M8"/>
    <mergeCell ref="K9:M9"/>
    <mergeCell ref="F24:H24"/>
    <mergeCell ref="K24:M24"/>
    <mergeCell ref="F19:I19"/>
    <mergeCell ref="K19:N19"/>
    <mergeCell ref="F26:N26"/>
    <mergeCell ref="F46:G46"/>
    <mergeCell ref="F27:I27"/>
    <mergeCell ref="K27:N27"/>
    <mergeCell ref="F28:I28"/>
    <mergeCell ref="K28:N28"/>
    <mergeCell ref="H29:I29"/>
    <mergeCell ref="K29:M29"/>
  </mergeCells>
  <printOptions horizontalCentered="1"/>
  <pageMargins left="0.78740157480314965" right="0.78740157480314965" top="0.39370078740157483" bottom="0.39370078740157483" header="0.31496062992125984" footer="0.51181102362204722"/>
  <headerFooter>
    <oddHeader>&amp;L&amp;9Jean-Paul HULOT&amp;C&amp;"Arial,Gras"&amp;20COMPARAISON PARC VT - PARC VE + VHR
&amp;RGAENA</oddHeader>
    <oddFooter>&amp;L&amp;9&amp;F \ &amp;A&amp;C&amp;9Page : &amp;P / &amp;N&amp;R&amp;"Arial,Normal"&amp;9Version du : 21/03/2019
Edité le : &amp;J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S37"/>
  <sheetViews>
    <sheetView topLeftCell="A10" workbookViewId="0">
      <selection activeCell="P5" sqref="P5:Q5"/>
    </sheetView>
  </sheetViews>
  <sheetFormatPr baseColWidth="10" defaultRowHeight="12" outlineLevelCol="1" x14ac:dyDescent="0"/>
  <cols>
    <col min="1" max="4" width="10.83203125" style="1"/>
    <col min="5" max="5" width="11.5" style="1" hidden="1" customWidth="1" outlineLevel="1"/>
    <col min="6" max="6" width="10.83203125" style="1" collapsed="1"/>
    <col min="7" max="7" width="11.5" style="1" hidden="1" customWidth="1" outlineLevel="1"/>
    <col min="8" max="8" width="10.83203125" style="1" collapsed="1"/>
    <col min="9" max="9" width="10.83203125" style="1"/>
    <col min="10" max="10" width="14.6640625" style="1" customWidth="1"/>
    <col min="11" max="12" width="10.83203125" style="1"/>
    <col min="13" max="13" width="1.5" style="1" customWidth="1"/>
    <col min="14" max="16384" width="10.83203125" style="1"/>
  </cols>
  <sheetData>
    <row r="1" spans="1:17" ht="13" thickBot="1"/>
    <row r="2" spans="1:17" ht="22" thickBot="1">
      <c r="I2" s="76" t="s">
        <v>19</v>
      </c>
      <c r="J2" s="77"/>
      <c r="K2" s="77"/>
      <c r="L2" s="77"/>
      <c r="M2" s="77"/>
      <c r="N2" s="77"/>
      <c r="O2" s="77"/>
      <c r="P2" s="77"/>
      <c r="Q2" s="86"/>
    </row>
    <row r="3" spans="1:17" ht="17">
      <c r="A3" s="87" t="s">
        <v>2</v>
      </c>
      <c r="B3" s="88"/>
      <c r="C3" s="88"/>
      <c r="D3" s="88"/>
      <c r="E3" s="88"/>
      <c r="F3" s="89"/>
      <c r="I3" s="83" t="s">
        <v>16</v>
      </c>
      <c r="J3" s="84"/>
      <c r="K3" s="84"/>
      <c r="L3" s="85"/>
      <c r="N3" s="83" t="s">
        <v>10</v>
      </c>
      <c r="O3" s="84"/>
      <c r="P3" s="84"/>
      <c r="Q3" s="85"/>
    </row>
    <row r="4" spans="1:17">
      <c r="A4" s="116" t="s">
        <v>0</v>
      </c>
      <c r="B4" s="117"/>
      <c r="C4" s="117"/>
      <c r="D4" s="117"/>
      <c r="E4" s="8"/>
      <c r="F4" s="6">
        <v>4800000</v>
      </c>
      <c r="G4" s="1" t="s">
        <v>29</v>
      </c>
      <c r="I4" s="5" t="s">
        <v>3</v>
      </c>
      <c r="J4" s="4"/>
      <c r="K4" s="133">
        <f>nbv*(nbk/100)*cons*(eqes/1000000)</f>
        <v>52560.000000000007</v>
      </c>
      <c r="L4" s="134"/>
      <c r="N4" s="5" t="s">
        <v>3</v>
      </c>
      <c r="O4" s="4"/>
      <c r="P4" s="133">
        <f>nbv*(nbk)*coth/1000000</f>
        <v>8640000</v>
      </c>
      <c r="Q4" s="134"/>
    </row>
    <row r="5" spans="1:17">
      <c r="A5" s="116" t="s">
        <v>1</v>
      </c>
      <c r="B5" s="117"/>
      <c r="C5" s="117"/>
      <c r="D5" s="117"/>
      <c r="E5" s="8"/>
      <c r="F5" s="6">
        <v>15000</v>
      </c>
      <c r="G5" s="1" t="s">
        <v>30</v>
      </c>
      <c r="I5" s="5" t="s">
        <v>4</v>
      </c>
      <c r="J5" s="4"/>
      <c r="K5" s="133">
        <f>nbv*(nbk/100)*(ckWh/1000000)</f>
        <v>12960</v>
      </c>
      <c r="L5" s="134"/>
      <c r="N5" s="5" t="s">
        <v>4</v>
      </c>
      <c r="O5" s="4"/>
      <c r="P5" s="133">
        <f>nbv*(nbk/100)*ckWh*(coel/1000000)</f>
        <v>648000</v>
      </c>
      <c r="Q5" s="134"/>
    </row>
    <row r="6" spans="1:17" ht="13" thickBot="1">
      <c r="A6" s="129" t="s">
        <v>3</v>
      </c>
      <c r="B6" s="130"/>
      <c r="C6" s="130"/>
      <c r="D6" s="130"/>
      <c r="E6" s="9"/>
      <c r="F6" s="3"/>
      <c r="I6" s="80" t="s">
        <v>9</v>
      </c>
      <c r="J6" s="82"/>
      <c r="K6" s="135">
        <f>K4/K5</f>
        <v>4.0555555555555562</v>
      </c>
      <c r="L6" s="136"/>
      <c r="N6" s="80" t="s">
        <v>9</v>
      </c>
      <c r="O6" s="82"/>
      <c r="P6" s="135">
        <f>P4/P5</f>
        <v>13.333333333333334</v>
      </c>
      <c r="Q6" s="136"/>
    </row>
    <row r="7" spans="1:17">
      <c r="A7" s="116" t="s">
        <v>5</v>
      </c>
      <c r="B7" s="117"/>
      <c r="C7" s="117"/>
      <c r="D7" s="117"/>
      <c r="E7" s="8"/>
      <c r="F7" s="7">
        <v>7.3</v>
      </c>
      <c r="G7" s="1" t="s">
        <v>39</v>
      </c>
    </row>
    <row r="8" spans="1:17" ht="13" thickBot="1">
      <c r="A8" s="116" t="s">
        <v>11</v>
      </c>
      <c r="B8" s="117"/>
      <c r="C8" s="117"/>
      <c r="D8" s="117"/>
      <c r="E8" s="8"/>
      <c r="F8" s="6">
        <v>120</v>
      </c>
      <c r="G8" s="1" t="s">
        <v>31</v>
      </c>
    </row>
    <row r="9" spans="1:17">
      <c r="A9" s="116" t="s">
        <v>8</v>
      </c>
      <c r="B9" s="117"/>
      <c r="C9" s="117"/>
      <c r="D9" s="117"/>
      <c r="E9" s="8"/>
      <c r="F9" s="6">
        <v>10</v>
      </c>
      <c r="G9" s="1" t="s">
        <v>32</v>
      </c>
      <c r="I9" s="96" t="s">
        <v>12</v>
      </c>
      <c r="J9" s="63"/>
      <c r="K9" s="99">
        <f>K5/1000</f>
        <v>12.96</v>
      </c>
      <c r="L9" s="100"/>
      <c r="M9" s="103" t="s">
        <v>15</v>
      </c>
      <c r="N9" s="104"/>
      <c r="O9" s="104"/>
    </row>
    <row r="10" spans="1:17" ht="13" thickBot="1">
      <c r="A10" s="116" t="s">
        <v>50</v>
      </c>
      <c r="B10" s="117"/>
      <c r="C10" s="117"/>
      <c r="D10" s="117"/>
      <c r="E10" s="8"/>
      <c r="F10" s="15">
        <v>0.7</v>
      </c>
      <c r="G10" s="1" t="s">
        <v>33</v>
      </c>
      <c r="I10" s="97"/>
      <c r="J10" s="98"/>
      <c r="K10" s="101"/>
      <c r="L10" s="102"/>
      <c r="M10" s="103"/>
      <c r="N10" s="104"/>
      <c r="O10" s="104"/>
    </row>
    <row r="11" spans="1:17" ht="13" thickBot="1">
      <c r="A11" s="116" t="s">
        <v>26</v>
      </c>
      <c r="B11" s="117"/>
      <c r="C11" s="117"/>
      <c r="D11" s="117"/>
      <c r="E11" s="26">
        <f>plit-(plit/1.2)</f>
        <v>0.25</v>
      </c>
      <c r="F11" s="15">
        <v>1.5</v>
      </c>
      <c r="G11" s="1" t="s">
        <v>40</v>
      </c>
      <c r="I11" s="9"/>
      <c r="J11" s="9"/>
      <c r="K11" s="14"/>
      <c r="L11" s="14"/>
      <c r="M11" s="13"/>
      <c r="N11" s="13"/>
      <c r="O11" s="13"/>
    </row>
    <row r="12" spans="1:17">
      <c r="A12" s="116"/>
      <c r="B12" s="117"/>
      <c r="C12" s="117"/>
      <c r="D12" s="117"/>
      <c r="E12" s="27"/>
      <c r="F12" s="2"/>
      <c r="I12" s="96" t="s">
        <v>14</v>
      </c>
      <c r="J12" s="63"/>
      <c r="K12" s="99">
        <f>((nbv*b40k*n40k)+(nbv*b20k*n20k)+(nbv*b7k*n7k))/1000000*parc</f>
        <v>30.96</v>
      </c>
      <c r="L12" s="100"/>
      <c r="M12" s="103" t="s">
        <v>18</v>
      </c>
      <c r="N12" s="104"/>
      <c r="O12" s="104"/>
    </row>
    <row r="13" spans="1:17" ht="13" thickBot="1">
      <c r="A13" s="129" t="s">
        <v>4</v>
      </c>
      <c r="B13" s="130"/>
      <c r="C13" s="130"/>
      <c r="D13" s="130"/>
      <c r="E13" s="9"/>
      <c r="F13" s="3"/>
      <c r="I13" s="97"/>
      <c r="J13" s="98"/>
      <c r="K13" s="101"/>
      <c r="L13" s="102"/>
      <c r="M13" s="103"/>
      <c r="N13" s="104"/>
      <c r="O13" s="104"/>
    </row>
    <row r="14" spans="1:17">
      <c r="A14" s="116" t="s">
        <v>6</v>
      </c>
      <c r="B14" s="117"/>
      <c r="C14" s="117"/>
      <c r="D14" s="117"/>
      <c r="E14" s="27"/>
      <c r="F14" s="7">
        <v>18</v>
      </c>
      <c r="G14" s="1" t="s">
        <v>34</v>
      </c>
    </row>
    <row r="15" spans="1:17" ht="22" thickBot="1">
      <c r="A15" s="116" t="s">
        <v>7</v>
      </c>
      <c r="B15" s="117"/>
      <c r="C15" s="117"/>
      <c r="D15" s="117"/>
      <c r="E15" s="8"/>
      <c r="F15" s="6">
        <v>50</v>
      </c>
      <c r="G15" s="1" t="s">
        <v>35</v>
      </c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22" thickBot="1">
      <c r="A16" s="137" t="s">
        <v>51</v>
      </c>
      <c r="B16" s="138"/>
      <c r="C16" s="138"/>
      <c r="D16" s="139"/>
      <c r="E16" s="8"/>
      <c r="F16" s="6">
        <v>170</v>
      </c>
      <c r="G16" s="1" t="s">
        <v>52</v>
      </c>
      <c r="I16" s="76" t="str">
        <f>"BILAN PLURIANNUEL ("&amp;dvie&amp;" ANNEES)"</f>
        <v>BILAN PLURIANNUEL (10 ANNEES)</v>
      </c>
      <c r="J16" s="77"/>
      <c r="K16" s="77"/>
      <c r="L16" s="77"/>
      <c r="M16" s="77"/>
      <c r="N16" s="77"/>
      <c r="O16" s="77"/>
      <c r="P16" s="77"/>
      <c r="Q16" s="86"/>
    </row>
    <row r="17" spans="1:19" ht="17">
      <c r="A17" s="140" t="s">
        <v>13</v>
      </c>
      <c r="B17" s="141"/>
      <c r="C17" s="141"/>
      <c r="D17" s="141"/>
      <c r="E17" s="10"/>
      <c r="F17" s="2"/>
      <c r="I17" s="124" t="s">
        <v>16</v>
      </c>
      <c r="J17" s="125"/>
      <c r="K17" s="125"/>
      <c r="L17" s="126"/>
      <c r="N17" s="124" t="s">
        <v>10</v>
      </c>
      <c r="O17" s="125"/>
      <c r="P17" s="125"/>
      <c r="Q17" s="126"/>
      <c r="R17" s="106" t="s">
        <v>22</v>
      </c>
      <c r="S17" s="106"/>
    </row>
    <row r="18" spans="1:19">
      <c r="A18" s="116" t="s">
        <v>17</v>
      </c>
      <c r="B18" s="117"/>
      <c r="C18" s="117"/>
      <c r="D18" s="117"/>
      <c r="E18" s="10"/>
      <c r="F18" s="12">
        <v>0.5</v>
      </c>
      <c r="G18" s="1" t="s">
        <v>36</v>
      </c>
      <c r="I18" s="5" t="s">
        <v>3</v>
      </c>
      <c r="J18" s="4"/>
      <c r="K18" s="127">
        <f>K4*dvie</f>
        <v>525600.00000000012</v>
      </c>
      <c r="L18" s="128"/>
      <c r="N18" s="5" t="s">
        <v>3</v>
      </c>
      <c r="O18" s="4"/>
      <c r="P18" s="127">
        <f>P4*dvie+R18</f>
        <v>86400003.799999997</v>
      </c>
      <c r="Q18" s="128"/>
      <c r="R18" s="107">
        <v>3.8</v>
      </c>
      <c r="S18" s="107"/>
    </row>
    <row r="19" spans="1:19">
      <c r="A19" s="116" t="str">
        <f>"Pourcentage du parc sur des bornes à "&amp;n40k&amp;" kW"</f>
        <v>Pourcentage du parc sur des bornes à 40 kW</v>
      </c>
      <c r="B19" s="117"/>
      <c r="C19" s="117"/>
      <c r="D19" s="117"/>
      <c r="E19" s="27">
        <v>40</v>
      </c>
      <c r="F19" s="12">
        <v>0.1</v>
      </c>
      <c r="G19" s="1" t="s">
        <v>41</v>
      </c>
      <c r="I19" s="5" t="s">
        <v>4</v>
      </c>
      <c r="J19" s="4"/>
      <c r="K19" s="127">
        <f>K5*dvie</f>
        <v>129600</v>
      </c>
      <c r="L19" s="128"/>
      <c r="N19" s="5" t="s">
        <v>4</v>
      </c>
      <c r="O19" s="4"/>
      <c r="P19" s="127">
        <f>P5*dvie+R19</f>
        <v>6480006.9000000004</v>
      </c>
      <c r="Q19" s="128"/>
      <c r="R19" s="107">
        <v>6.9</v>
      </c>
      <c r="S19" s="107"/>
    </row>
    <row r="20" spans="1:19" ht="13" thickBot="1">
      <c r="A20" s="116" t="str">
        <f>"Pourcentage du parc sur des bornes à "&amp;n20k&amp;" kW"</f>
        <v>Pourcentage du parc sur des bornes à 20 kW</v>
      </c>
      <c r="B20" s="117"/>
      <c r="C20" s="117"/>
      <c r="D20" s="117"/>
      <c r="E20" s="27">
        <v>20</v>
      </c>
      <c r="F20" s="12">
        <v>0.2</v>
      </c>
      <c r="G20" s="1" t="s">
        <v>42</v>
      </c>
      <c r="I20" s="80" t="s">
        <v>9</v>
      </c>
      <c r="J20" s="82"/>
      <c r="K20" s="142">
        <f>K18/K19</f>
        <v>4.0555555555555562</v>
      </c>
      <c r="L20" s="143"/>
      <c r="M20" s="16"/>
      <c r="N20" s="80" t="s">
        <v>9</v>
      </c>
      <c r="O20" s="82"/>
      <c r="P20" s="142">
        <f>P18/P19</f>
        <v>13.333319722236714</v>
      </c>
      <c r="Q20" s="143"/>
      <c r="R20" s="105">
        <f>R18/R19</f>
        <v>0.55072463768115931</v>
      </c>
      <c r="S20" s="105"/>
    </row>
    <row r="21" spans="1:19" ht="13" thickBot="1">
      <c r="A21" s="116" t="str">
        <f>"Pourcentage du parc sur des bornes à "&amp;n7k&amp;" kW"</f>
        <v>Pourcentage du parc sur des bornes à 7 kW</v>
      </c>
      <c r="B21" s="117"/>
      <c r="C21" s="117"/>
      <c r="D21" s="117"/>
      <c r="E21" s="27">
        <v>7</v>
      </c>
      <c r="F21" s="12">
        <v>0.7</v>
      </c>
      <c r="G21" s="1" t="s">
        <v>43</v>
      </c>
    </row>
    <row r="22" spans="1:19" ht="22" thickBot="1">
      <c r="A22" s="116" t="s">
        <v>46</v>
      </c>
      <c r="B22" s="117"/>
      <c r="C22" s="117"/>
      <c r="D22" s="117"/>
      <c r="E22" s="8"/>
      <c r="F22" s="15">
        <v>0.03</v>
      </c>
      <c r="G22" s="1" t="s">
        <v>37</v>
      </c>
      <c r="I22" s="76" t="s">
        <v>23</v>
      </c>
      <c r="J22" s="77"/>
      <c r="K22" s="77"/>
      <c r="L22" s="77"/>
      <c r="M22" s="77"/>
      <c r="N22" s="77"/>
      <c r="O22" s="77"/>
      <c r="P22" s="77"/>
      <c r="Q22" s="86"/>
    </row>
    <row r="23" spans="1:19" ht="17">
      <c r="A23" s="116" t="s">
        <v>27</v>
      </c>
      <c r="B23" s="117"/>
      <c r="C23" s="117"/>
      <c r="D23" s="117"/>
      <c r="E23" s="26">
        <f>(pkWh*1.2)-pkWh</f>
        <v>1.999999999999999E-2</v>
      </c>
      <c r="F23" s="15">
        <v>0.1</v>
      </c>
      <c r="G23" s="1" t="s">
        <v>44</v>
      </c>
      <c r="I23" s="64" t="s">
        <v>49</v>
      </c>
      <c r="J23" s="65"/>
      <c r="K23" s="65"/>
      <c r="L23" s="66"/>
      <c r="N23" s="64" t="s">
        <v>48</v>
      </c>
      <c r="O23" s="65"/>
      <c r="P23" s="65"/>
      <c r="Q23" s="66"/>
      <c r="R23" s="62" t="s">
        <v>28</v>
      </c>
      <c r="S23" s="122"/>
    </row>
    <row r="24" spans="1:19" ht="18" thickBot="1">
      <c r="A24" s="116"/>
      <c r="B24" s="117"/>
      <c r="C24" s="117"/>
      <c r="D24" s="117"/>
      <c r="E24" s="27"/>
      <c r="F24" s="2"/>
      <c r="I24" s="70">
        <f>nbv*nbk/100*cons*tip</f>
        <v>3679200000</v>
      </c>
      <c r="J24" s="71"/>
      <c r="K24" s="71"/>
      <c r="L24" s="75"/>
      <c r="M24" s="17"/>
      <c r="N24" s="70">
        <f>nbv*nbk/100*ckWh*tkWh</f>
        <v>388800000</v>
      </c>
      <c r="O24" s="71"/>
      <c r="P24" s="71"/>
      <c r="Q24" s="75"/>
      <c r="R24" s="118">
        <f>I24-N24</f>
        <v>3290400000</v>
      </c>
      <c r="S24" s="119"/>
    </row>
    <row r="25" spans="1:19" ht="18" thickBot="1">
      <c r="A25" s="131" t="s">
        <v>47</v>
      </c>
      <c r="B25" s="132"/>
      <c r="C25" s="132"/>
      <c r="D25" s="132"/>
      <c r="E25" s="11"/>
      <c r="F25" s="18">
        <v>10</v>
      </c>
      <c r="G25" s="1" t="s">
        <v>38</v>
      </c>
      <c r="I25" s="109"/>
      <c r="J25" s="109"/>
      <c r="K25" s="109"/>
      <c r="L25" s="109"/>
      <c r="M25" s="28"/>
      <c r="N25" s="109"/>
      <c r="O25" s="109"/>
      <c r="P25" s="109"/>
      <c r="Q25" s="109"/>
      <c r="R25" s="110"/>
      <c r="S25" s="110"/>
    </row>
    <row r="26" spans="1:19" ht="22" thickBot="1">
      <c r="I26" s="76" t="s">
        <v>25</v>
      </c>
      <c r="J26" s="77"/>
      <c r="K26" s="77"/>
      <c r="L26" s="77"/>
      <c r="M26" s="77"/>
      <c r="N26" s="77"/>
      <c r="O26" s="77"/>
      <c r="P26" s="77"/>
      <c r="Q26" s="86"/>
    </row>
    <row r="27" spans="1:19" ht="17">
      <c r="I27" s="64" t="s">
        <v>20</v>
      </c>
      <c r="J27" s="65"/>
      <c r="K27" s="65"/>
      <c r="L27" s="66"/>
      <c r="N27" s="64" t="s">
        <v>21</v>
      </c>
      <c r="O27" s="65"/>
      <c r="P27" s="65"/>
      <c r="Q27" s="66"/>
      <c r="R27" s="62" t="s">
        <v>28</v>
      </c>
      <c r="S27" s="122"/>
    </row>
    <row r="28" spans="1:19" ht="18" thickBot="1">
      <c r="I28" s="70">
        <f>nbv*(nbk/100)*cons*tval</f>
        <v>1314000000</v>
      </c>
      <c r="J28" s="71"/>
      <c r="K28" s="71"/>
      <c r="L28" s="75"/>
      <c r="M28" s="17"/>
      <c r="N28" s="70">
        <f>(nbv*(nbk/100)*ckWh*pkWh)*tvakWh+(nbv*(nbk/100)*ckWh*pkWh)*0.2</f>
        <v>285120000</v>
      </c>
      <c r="O28" s="71"/>
      <c r="P28" s="71"/>
      <c r="Q28" s="75"/>
      <c r="R28" s="118">
        <f>I28-N28</f>
        <v>1028880000</v>
      </c>
      <c r="S28" s="119"/>
    </row>
    <row r="29" spans="1:19" ht="13" thickBot="1">
      <c r="R29" s="120">
        <f>R24+R28</f>
        <v>4319280000</v>
      </c>
      <c r="S29" s="121"/>
    </row>
    <row r="30" spans="1:19" ht="13" thickBot="1"/>
    <row r="31" spans="1:19" ht="22" thickBot="1">
      <c r="I31" s="76" t="s">
        <v>24</v>
      </c>
      <c r="J31" s="77"/>
      <c r="K31" s="77"/>
      <c r="L31" s="77"/>
      <c r="M31" s="77"/>
      <c r="N31" s="77"/>
      <c r="O31" s="77"/>
      <c r="P31" s="77"/>
      <c r="Q31" s="86"/>
    </row>
    <row r="32" spans="1:19" ht="17">
      <c r="I32" s="64" t="s">
        <v>20</v>
      </c>
      <c r="J32" s="65"/>
      <c r="K32" s="65"/>
      <c r="L32" s="66"/>
      <c r="N32" s="64" t="s">
        <v>21</v>
      </c>
      <c r="O32" s="65"/>
      <c r="P32" s="65"/>
      <c r="Q32" s="66"/>
      <c r="R32" s="103" t="s">
        <v>45</v>
      </c>
      <c r="S32" s="104"/>
    </row>
    <row r="33" spans="9:19" ht="18" thickBot="1">
      <c r="I33" s="111">
        <v>20</v>
      </c>
      <c r="J33" s="112"/>
      <c r="K33" s="112"/>
      <c r="L33" s="113"/>
      <c r="M33" s="25"/>
      <c r="N33" s="111">
        <v>33</v>
      </c>
      <c r="O33" s="112"/>
      <c r="P33" s="112"/>
      <c r="Q33" s="113"/>
      <c r="R33" s="103"/>
      <c r="S33" s="104"/>
    </row>
    <row r="34" spans="9:19" ht="13" thickBot="1"/>
    <row r="35" spans="9:19" ht="22" thickBot="1">
      <c r="I35" s="76" t="s">
        <v>53</v>
      </c>
      <c r="J35" s="77"/>
      <c r="K35" s="77"/>
      <c r="L35" s="86"/>
      <c r="M35" s="34"/>
      <c r="N35" s="34"/>
      <c r="O35" s="34"/>
      <c r="P35" s="34"/>
      <c r="Q35" s="34"/>
    </row>
    <row r="36" spans="9:19" ht="18" customHeight="1">
      <c r="I36" s="62" t="s">
        <v>54</v>
      </c>
      <c r="J36" s="63"/>
      <c r="K36" s="144">
        <v>40</v>
      </c>
      <c r="L36" s="145"/>
    </row>
    <row r="37" spans="9:19" ht="18" customHeight="1" thickBot="1">
      <c r="I37" s="80" t="s">
        <v>55</v>
      </c>
      <c r="J37" s="81"/>
      <c r="K37" s="146">
        <f>K36*(cobat*1000)/(nbk*dvie)</f>
        <v>45.333333333333336</v>
      </c>
      <c r="L37" s="147"/>
    </row>
  </sheetData>
  <mergeCells count="85">
    <mergeCell ref="I37:J37"/>
    <mergeCell ref="K36:L36"/>
    <mergeCell ref="K37:L37"/>
    <mergeCell ref="R19:S19"/>
    <mergeCell ref="I20:J20"/>
    <mergeCell ref="K20:L20"/>
    <mergeCell ref="I35:L35"/>
    <mergeCell ref="I36:J36"/>
    <mergeCell ref="R20:S20"/>
    <mergeCell ref="A16:D16"/>
    <mergeCell ref="I16:Q16"/>
    <mergeCell ref="A21:D21"/>
    <mergeCell ref="A22:D22"/>
    <mergeCell ref="A23:D23"/>
    <mergeCell ref="A17:D17"/>
    <mergeCell ref="A19:D19"/>
    <mergeCell ref="A20:D20"/>
    <mergeCell ref="P19:Q19"/>
    <mergeCell ref="N20:O20"/>
    <mergeCell ref="P20:Q20"/>
    <mergeCell ref="I2:Q2"/>
    <mergeCell ref="A12:D12"/>
    <mergeCell ref="M9:O10"/>
    <mergeCell ref="A18:D18"/>
    <mergeCell ref="A9:D9"/>
    <mergeCell ref="I3:L3"/>
    <mergeCell ref="A4:D4"/>
    <mergeCell ref="A5:D5"/>
    <mergeCell ref="A3:F3"/>
    <mergeCell ref="A6:D6"/>
    <mergeCell ref="A7:D7"/>
    <mergeCell ref="A8:D8"/>
    <mergeCell ref="I9:J10"/>
    <mergeCell ref="K9:L10"/>
    <mergeCell ref="A10:D10"/>
    <mergeCell ref="I6:J6"/>
    <mergeCell ref="K4:L4"/>
    <mergeCell ref="K5:L5"/>
    <mergeCell ref="K6:L6"/>
    <mergeCell ref="N3:Q3"/>
    <mergeCell ref="P4:Q4"/>
    <mergeCell ref="P5:Q5"/>
    <mergeCell ref="P6:Q6"/>
    <mergeCell ref="N6:O6"/>
    <mergeCell ref="A11:D11"/>
    <mergeCell ref="R28:S28"/>
    <mergeCell ref="I12:J13"/>
    <mergeCell ref="K12:L13"/>
    <mergeCell ref="M12:O13"/>
    <mergeCell ref="I17:L17"/>
    <mergeCell ref="N17:Q17"/>
    <mergeCell ref="R17:S17"/>
    <mergeCell ref="K18:L18"/>
    <mergeCell ref="P18:Q18"/>
    <mergeCell ref="R18:S18"/>
    <mergeCell ref="K19:L19"/>
    <mergeCell ref="A13:D13"/>
    <mergeCell ref="A14:D14"/>
    <mergeCell ref="A15:D15"/>
    <mergeCell ref="A25:D25"/>
    <mergeCell ref="I15:Q15"/>
    <mergeCell ref="R32:S33"/>
    <mergeCell ref="I22:Q22"/>
    <mergeCell ref="N23:Q23"/>
    <mergeCell ref="I23:L23"/>
    <mergeCell ref="I31:Q31"/>
    <mergeCell ref="I32:L32"/>
    <mergeCell ref="N32:Q32"/>
    <mergeCell ref="I33:L33"/>
    <mergeCell ref="N33:Q33"/>
    <mergeCell ref="I28:L28"/>
    <mergeCell ref="N28:Q28"/>
    <mergeCell ref="R23:S23"/>
    <mergeCell ref="A24:D24"/>
    <mergeCell ref="I24:L24"/>
    <mergeCell ref="N24:Q24"/>
    <mergeCell ref="R24:S24"/>
    <mergeCell ref="R29:S29"/>
    <mergeCell ref="I26:Q26"/>
    <mergeCell ref="N27:Q27"/>
    <mergeCell ref="I27:L27"/>
    <mergeCell ref="R27:S27"/>
    <mergeCell ref="I25:L25"/>
    <mergeCell ref="N25:Q25"/>
    <mergeCell ref="R25:S25"/>
  </mergeCells>
  <printOptions horizontalCentered="1"/>
  <pageMargins left="0.78740157480314965" right="0.78740157480314965" top="0.98425196850393704" bottom="0.98425196850393704" header="0.51181102362204722" footer="0.51181102362204722"/>
  <headerFooter>
    <oddHeader>&amp;L&amp;9Jean-Paul HULOT&amp;C&amp;"Arial,Gras"&amp;16COMPARAISON VT - VE &amp;RGAENA</oddHeader>
    <oddFooter>&amp;L&amp;9&amp;F \ &amp;A&amp;C&amp;9Page : &amp;P / &amp;N&amp;R&amp;"Arial,Normal"&amp;9Version du : 11/03/2019
Edité le : &amp;J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VT - VE+VHR</vt:lpstr>
      <vt:lpstr>VT - 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JP_H</dc:creator>
  <cp:lastModifiedBy>Coco Girl Baha</cp:lastModifiedBy>
  <cp:lastPrinted>2019-03-20T17:38:36Z</cp:lastPrinted>
  <dcterms:created xsi:type="dcterms:W3CDTF">2019-03-04T17:12:32Z</dcterms:created>
  <dcterms:modified xsi:type="dcterms:W3CDTF">2019-06-10T22:04:33Z</dcterms:modified>
</cp:coreProperties>
</file>