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5192" windowHeight="8448" tabRatio="676" activeTab="1"/>
  </bookViews>
  <sheets>
    <sheet name="Form" sheetId="1" r:id="rId1"/>
    <sheet name="Appendix-Exact_Calculations" sheetId="2" r:id="rId2"/>
    <sheet name="Appendix - Renewable Capacity" sheetId="3" r:id="rId3"/>
    <sheet name="Appendix - Energy Supply" sheetId="4" r:id="rId4"/>
    <sheet name="Appendix - UK Energy 2005 dti" sheetId="5" r:id="rId5"/>
    <sheet name="Appendix_Efficiency Savings" sheetId="6" r:id="rId6"/>
    <sheet name="Appendix - UK CO2 2005" sheetId="7" r:id="rId7"/>
    <sheet name="Appendix - World Energy 2004" sheetId="8" r:id="rId8"/>
    <sheet name="Appendix - Units" sheetId="9" r:id="rId9"/>
  </sheets>
  <externalReferences>
    <externalReference r:id="rId12"/>
  </externalReferences>
  <definedNames>
    <definedName name="Excel_BuiltIn_Print_Area_1">#REF!</definedName>
    <definedName name="Excel_BuiltIn_Print_Area_2">#REF!</definedName>
    <definedName name="finalfootprint">'Form'!$F$33</definedName>
    <definedName name="Gas_UK">#REF!</definedName>
    <definedName name="Global_Nuclear">#REF!</definedName>
    <definedName name="govttarget">'Form'!$E$35</definedName>
    <definedName name="initialfootprint">'Form'!$F$4</definedName>
    <definedName name="Nuclear_UK">#REF!</definedName>
    <definedName name="_xlnm.Print_Area" localSheetId="6">'Appendix - UK CO2 2005'!$A$1:$E$95</definedName>
    <definedName name="_xlnm.Print_Area" localSheetId="4">'Appendix - UK Energy 2005 dti'!$O$1:$Y$69</definedName>
    <definedName name="_xlnm.Print_Titles" localSheetId="6">'Appendix - UK CO2 2005'!$1:$4</definedName>
    <definedName name="target">'Form'!$E$36</definedName>
    <definedName name="ukpop">'Appendix-Exact_Calculations'!$C$59</definedName>
  </definedNames>
  <calcPr fullCalcOnLoad="1"/>
</workbook>
</file>

<file path=xl/comments1.xml><?xml version="1.0" encoding="utf-8"?>
<comments xmlns="http://schemas.openxmlformats.org/spreadsheetml/2006/main">
  <authors>
    <author>Peter Stretton</author>
    <author>Stephen</author>
  </authors>
  <commentList>
    <comment ref="C26" authorId="0">
      <text>
        <r>
          <rPr>
            <b/>
            <sz val="8"/>
            <rFont val="Tahoma"/>
            <family val="0"/>
          </rPr>
          <t xml:space="preserve">~50TWh/year= 50000/(365*24)=5.7GW
~=6W
Approximation: Entire resource used to supplant fossil fuels but with a 40% efficiency losses to account for storage
Intermittency problem might be overcome by use of pumping/pools
</t>
        </r>
      </text>
    </comment>
    <comment ref="C28" authorId="0">
      <text>
        <r>
          <rPr>
            <b/>
            <sz val="8"/>
            <rFont val="Tahoma"/>
            <family val="0"/>
          </rPr>
          <t>Exact Calculation: Entire ofshore wind resource of UK Used for electricity pot
Approximation: Entire resource used to supplant fossil fuels but with a 40% efficiency losses to account for storage</t>
        </r>
      </text>
    </comment>
    <comment ref="C29" authorId="0">
      <text>
        <r>
          <rPr>
            <b/>
            <sz val="8"/>
            <rFont val="Tahoma"/>
            <family val="0"/>
          </rPr>
          <t xml:space="preserve">Assume 12 square metres each person
Solar input * Day/night * Cloudiness* UK lattitude factor * Efficiency * Area 
Power of Midday Sunshine =1000W/m2
Daylight factor = 1/4
Suniness Factor = 1/3
Latitude Factor = 0.6
Efficiency 0.2
Total = 1000W*(1/4)*(1/3)*0.6*0.2 = 10W/m2
~(10/1000)*24 = 0.24kWh/day/m2
At least 12 square metres per home (less if south facing)
Assume ~80% efficiency and a 12m2 array of thermal panels can deliver about 5 kWh per day of thermal energy.
Assume hot water needed 250 days per year (also lack of sun in winter is a problem)
8kWh/day*250days/year*0.2kgCO2/kWh (gas) = 400kgCO2/year/household
25million households 60million people
Saving is 400*25/60=166kgCO2/year
Approximation: Entire resource used to supplant fossil fuels but with a 40% efficiency losses to account for storage
</t>
        </r>
      </text>
    </comment>
    <comment ref="C24" authorId="0">
      <text>
        <r>
          <rPr>
            <b/>
            <sz val="8"/>
            <rFont val="Tahoma"/>
            <family val="0"/>
          </rPr>
          <t>Each power station has an average ~1.1GW Rated capacity with a 90% load factor making 1GW average supply</t>
        </r>
      </text>
    </comment>
    <comment ref="C31" authorId="0">
      <text>
        <r>
          <rPr>
            <b/>
            <sz val="8"/>
            <rFont val="Tahoma"/>
            <family val="0"/>
          </rPr>
          <t>1.1GW Rated capacity. 90% load factor</t>
        </r>
      </text>
    </comment>
    <comment ref="C8" authorId="0">
      <text>
        <r>
          <rPr>
            <b/>
            <sz val="8"/>
            <rFont val="Tahoma"/>
            <family val="0"/>
          </rPr>
          <t xml:space="preserve">Power of Midday Sunshine =1000W/m2
Daylight factor = 1/4
Suniness Factor = 1/3
Latitude Factor = 0.6
Total = 1000W*(1/4)*(1/3)*0.6 = 50W/m2
~(50/1000)*24 = 1.2kWh/day/m2
At least 12 square metres per person (less if south facing)
deliver about 20 kWh per day of thermal energy.
20kWh/day*250days/year*0.2kgCO2/kWh (gas) = 400kgCO2/year/household
25million households 60million people
Saving is 400*25/60=166kgCO2/year
REF: "You Figure it Out" http://www.inference.phy.cam.ac.uk/sustainable/book/tex/cft.pdf
</t>
        </r>
      </text>
    </comment>
    <comment ref="C7" authorId="0">
      <text>
        <r>
          <rPr>
            <b/>
            <sz val="8"/>
            <rFont val="Tahoma"/>
            <family val="0"/>
          </rPr>
          <t xml:space="preserve">Assumes replacing a 100W light bulb with a 20W energy saving bulb and 1,100 hours (used 1/8 of time) of use per year. 
80W saving x 1100 hours =88kWh
Co2 saved per lightbulb 88kWhx472gCO2/kWh = 41.5kgCO2
10 per household, 25m household, 60m people
41.5kg*10*25/60=172kg per person
REF: 
ENERGY SAVING TRUST Tuesday 2 August 2005 
"Energy Saving Trust Reveals GBP6 Billion Worth of Energy Savings for UK Homes"
http://www.prnewswire.co.uk/cgi/news/release?id=151123
(Figure lower, if heating ofset is included DEFRA 3kgC= 11kgCO2 per lightbulb
http://www.defra.gov.uk/environment/climatechange/pubs/dat/energy-factsheet.htm#notes)
</t>
        </r>
      </text>
    </comment>
    <comment ref="C10" authorId="1">
      <text>
        <r>
          <rPr>
            <b/>
            <sz val="8"/>
            <rFont val="Tahoma"/>
            <family val="0"/>
          </rPr>
          <t>ACTION                   UK ANNUAL SAVING
Filling cavity walls  8.2 million tonnes  8.2/60= 0.133 tCO2 per person
Insulating lofts      5.1 million tonnes   5.1/60 = 0.085 tCO2 per person
REF: ENERGY SAVING TRUST Tuesday 2 August 2005 
"Energy Saving Trust Reveals GBP6 Billion Worth of Energy Savings for UK Homes"
http://www.prnewswire.co.uk/cgi/news/release?id=151123</t>
        </r>
      </text>
    </comment>
    <comment ref="C9" authorId="1">
      <text>
        <r>
          <rPr>
            <b/>
            <sz val="8"/>
            <rFont val="Tahoma"/>
            <family val="0"/>
          </rPr>
          <t>Turn Thermostat down (per degree):6.7 million tonnes CO2 UK total [1]
6.7/60=0.111 per degree
REF: 
[1] ENERGY SAVING TRUST Tuesday 2 August 2005 
"Energy Saving Trust Reveals GBP6 Billion Worth of Energy Savings for UK Homes"
http://www.prnewswire.co.uk/cgi/news/release?id=151123</t>
        </r>
      </text>
    </comment>
    <comment ref="C11" authorId="1">
      <text>
        <r>
          <rPr>
            <b/>
            <sz val="8"/>
            <rFont val="Tahoma"/>
            <family val="0"/>
          </rPr>
          <t>11. Recycle household waste
The average family in the UK throws out 521kg of rubbish a year. If every home recycled half of their rubbish the UK's annual CO2 emissions would fall by up to six million tonnes as we save the fuel used to transport the rubbish and the greenhouse gases the rubbish emits. 
http://www.greenenergy.uk.com/site/environment/Energy%20Conservation.aspx
6million tonnes/60 million people =  0.1tonne each
Al Gore US recycling (half waste) = 
2400lb CO2/year = 1.09kgCO2
UK footprint from waste is half that of the US  
Saving from recycling half waste: 0.55kgCO2/year
REF: "An Inconvenient Truth" accompanying material</t>
        </r>
      </text>
    </comment>
    <comment ref="C27" authorId="1">
      <text>
        <r>
          <rPr>
            <b/>
            <sz val="8"/>
            <rFont val="Tahoma"/>
            <family val="0"/>
          </rPr>
          <t>Exact Calculation: Entire onshore wind resource of UK Used for electricity pot
Approximation: Entire resource used to supplant fossil fuels but with a 40% efficiency losses to account for storage</t>
        </r>
      </text>
    </comment>
    <comment ref="C30" authorId="1">
      <text>
        <r>
          <rPr>
            <b/>
            <sz val="8"/>
            <rFont val="Tahoma"/>
            <family val="0"/>
          </rPr>
          <t>Wales area 20,000km2
North Wales area ~7,000km2
Some places impossible to grow trees/lower biological efficiency
Effective area ~5000km2
Biomass efficiency
0.01 × 0.4 × 50W/m2 = 0.2W/m2
0.2W/m2*5000,000,000m2
=1,000,000,000W = 1GW
Assumed to substitute for electricity</t>
        </r>
      </text>
    </comment>
    <comment ref="C25" authorId="1">
      <text>
        <r>
          <rPr>
            <b/>
            <sz val="8"/>
            <rFont val="Tahoma"/>
            <family val="0"/>
          </rPr>
          <t>Approximation is very rough - use exact figures for correct response</t>
        </r>
      </text>
    </comment>
    <comment ref="J7" authorId="0">
      <text>
        <r>
          <rPr>
            <b/>
            <sz val="8"/>
            <rFont val="Tahoma"/>
            <family val="0"/>
          </rPr>
          <t xml:space="preserve">Assumes replacing a 100W light bulb with a 20W energy saving bulb and 1,100 hours (used 1/8 of time) of use per year. 
80W saving x 1100 hours =88kWh
Co2 saved per lightbulb 88kWhx472gCO2/kWh = 41.5kgCO2
10 per household, 25m household, 60m people
41.5kg*10*25/60=172kg per person
REF: 
ENERGY SAVING TRUST Tuesday 2 August 2005 
"Energy Saving Trust Reveals GBP6 Billion Worth of Energy Savings for UK Homes"
http://www.prnewswire.co.uk/cgi/news/release?id=151123
(Figure lower, if heating ofset is included DEFRA 3kgC= 11kgCO2 per lightbulb
http://www.defra.gov.uk/environment/climatechange/pubs/dat/energy-factsheet.htm#notes)
</t>
        </r>
      </text>
    </comment>
    <comment ref="J8" authorId="0">
      <text>
        <r>
          <rPr>
            <b/>
            <sz val="8"/>
            <rFont val="Tahoma"/>
            <family val="0"/>
          </rPr>
          <t xml:space="preserve">Power of Midday Sunshine =1000W/m2
Daylight factor = 1/4
Suniness Factor = 1/3
Latitude Factor = 0.6
Total = 1000W*(1/4)*(1/3)*0.6 = 50W/m2
~(50/1000)*24 = 1.2kWh/day/m2
At least 12 square metres per person (less if south facing)
deliver about 20 kWh per day of thermal energy.
20kWh/day*250days/year*0.2kgCO2/kWh (gas) = 400kgCO2/year/household
25million households 60million people
Saving is 400*25/60=166kgCO2/year
REF: "You Figure it Out" http://www.inference.phy.cam.ac.uk/sustainable/book/tex/cft.pdf
</t>
        </r>
      </text>
    </comment>
    <comment ref="J9" authorId="1">
      <text>
        <r>
          <rPr>
            <b/>
            <sz val="8"/>
            <rFont val="Tahoma"/>
            <family val="0"/>
          </rPr>
          <t>6.7 million tonnes CO2 UK total [1]
6.7/60=0.111 per degree
REF: 
[1] ENERGY SAVING TRUST Tuesday 2 August 2005 
"Energy Saving Trust Reveals GBP6 Billion Worth of Energy Savings for UK Homes"
http://www.prnewswire.co.uk/cgi/news/release?id=151123</t>
        </r>
      </text>
    </comment>
    <comment ref="J10" authorId="1">
      <text>
        <r>
          <rPr>
            <b/>
            <sz val="8"/>
            <rFont val="Tahoma"/>
            <family val="0"/>
          </rPr>
          <t>ACTION                        UK ANNUAL SAVING(1)
Filling a cavity walls   - 8.2 million tonnes  8.2/60= 0.133 tCO2 per person
Insulating a loft         -5.1 million tonnes   5.1/60 = 0.085 tCO2 per person
REF: 
ENERGY SAVING TRUST Tuesday 2 August 2005 
"Energy Saving Trust Reveals GBP6 Billion Worth of Energy Savings for UK Homes"
http://www.prnewswire.co.uk/cgi/news/release?id=151123</t>
        </r>
      </text>
    </comment>
    <comment ref="J11" authorId="1">
      <text>
        <r>
          <rPr>
            <b/>
            <sz val="8"/>
            <rFont val="Tahoma"/>
            <family val="0"/>
          </rPr>
          <t>11. Recycle household waste
The average family in the UK throws out 521kg of rubbish a year. If every home recycled half of their rubbish the UK's annual CO2 emissions would fall by up to six million tonnes as we save the fuel used to transport the rubbish and the greenhouse gases the rubbish emits. 
http://www.greenenergy.uk.com/site/environment/Energy%20Conservation.aspx
6million tonnes/60 million people =  0.1tonne each
Al Gore US recycling (half waste) = 
2400lb CO2/year = 1.09kgCO2
UK footprint from waste is half that of the US  
Saving from recycling half waste: 0.55kgCO2/year
REF: "An Inconvenient Truth" accompanying material</t>
        </r>
      </text>
    </comment>
  </commentList>
</comments>
</file>

<file path=xl/comments3.xml><?xml version="1.0" encoding="utf-8"?>
<comments xmlns="http://schemas.openxmlformats.org/spreadsheetml/2006/main">
  <authors>
    <author>Stephen</author>
    <author>Peter Stretton</author>
  </authors>
  <commentList>
    <comment ref="I9" authorId="0">
      <text>
        <r>
          <rPr>
            <b/>
            <sz val="8"/>
            <rFont val="Tahoma"/>
            <family val="0"/>
          </rPr>
          <t>12m2 per person</t>
        </r>
      </text>
    </comment>
    <comment ref="M9" authorId="1">
      <text>
        <r>
          <rPr>
            <b/>
            <sz val="8"/>
            <rFont val="Tahoma"/>
            <family val="0"/>
          </rPr>
          <t>'Footprint' of roof on ground</t>
        </r>
      </text>
    </comment>
    <comment ref="L9" authorId="1">
      <text>
        <r>
          <rPr>
            <b/>
            <sz val="8"/>
            <rFont val="Tahoma"/>
            <family val="0"/>
          </rPr>
          <t>Assu</t>
        </r>
      </text>
    </comment>
    <comment ref="M8" authorId="1">
      <text>
        <r>
          <rPr>
            <b/>
            <sz val="8"/>
            <rFont val="Tahoma"/>
            <family val="0"/>
          </rPr>
          <t>'Footprint' of roof on ground</t>
        </r>
      </text>
    </comment>
    <comment ref="L8" authorId="1">
      <text>
        <r>
          <rPr>
            <b/>
            <sz val="8"/>
            <rFont val="Tahoma"/>
            <family val="0"/>
          </rPr>
          <t>Assu</t>
        </r>
      </text>
    </comment>
    <comment ref="O7" authorId="1">
      <text>
        <r>
          <rPr>
            <b/>
            <sz val="8"/>
            <rFont val="Tahoma"/>
            <family val="0"/>
          </rPr>
          <t xml:space="preserve">Here’s another way of thinking about the 13 000 km2 area that we’re
trying to imagine filling with turbines: if we take the total coastline of
Britain (length: 3000 km), and put a strip of turbines 4 km wide all the
way round, we would get 16 kWh/d each.
</t>
        </r>
      </text>
    </comment>
  </commentList>
</comments>
</file>

<file path=xl/comments5.xml><?xml version="1.0" encoding="utf-8"?>
<comments xmlns="http://schemas.openxmlformats.org/spreadsheetml/2006/main">
  <authors>
    <author>jewins</author>
    <author>janes</author>
  </authors>
  <commentList>
    <comment ref="P84" authorId="0">
      <text>
        <r>
          <rPr>
            <sz val="8"/>
            <rFont val="Tahoma"/>
            <family val="0"/>
          </rPr>
          <t xml:space="preserve">Amended Sept 2006
</t>
        </r>
      </text>
    </comment>
    <comment ref="Q84" authorId="0">
      <text>
        <r>
          <rPr>
            <sz val="8"/>
            <rFont val="Tahoma"/>
            <family val="0"/>
          </rPr>
          <t xml:space="preserve">Amended Sept 2006
</t>
        </r>
      </text>
    </comment>
    <comment ref="T84" authorId="0">
      <text>
        <r>
          <rPr>
            <sz val="8"/>
            <rFont val="Tahoma"/>
            <family val="0"/>
          </rPr>
          <t xml:space="preserve">Amended Sept 2006
</t>
        </r>
      </text>
    </comment>
    <comment ref="P85" authorId="0">
      <text>
        <r>
          <rPr>
            <sz val="8"/>
            <rFont val="Tahoma"/>
            <family val="0"/>
          </rPr>
          <t xml:space="preserve">Amended Sept 2006
</t>
        </r>
      </text>
    </comment>
    <comment ref="T85" authorId="0">
      <text>
        <r>
          <rPr>
            <sz val="8"/>
            <rFont val="Tahoma"/>
            <family val="0"/>
          </rPr>
          <t xml:space="preserve">Amended Sept 2006
</t>
        </r>
      </text>
    </comment>
    <comment ref="P86" authorId="0">
      <text>
        <r>
          <rPr>
            <sz val="8"/>
            <rFont val="Tahoma"/>
            <family val="0"/>
          </rPr>
          <t xml:space="preserve">Amended Sept 2006
</t>
        </r>
      </text>
    </comment>
    <comment ref="T86" authorId="0">
      <text>
        <r>
          <rPr>
            <sz val="8"/>
            <rFont val="Tahoma"/>
            <family val="0"/>
          </rPr>
          <t xml:space="preserve">Amended Sept 2006
</t>
        </r>
      </text>
    </comment>
    <comment ref="P87" authorId="0">
      <text>
        <r>
          <rPr>
            <sz val="8"/>
            <rFont val="Tahoma"/>
            <family val="0"/>
          </rPr>
          <t xml:space="preserve">Amended Sept 2006
</t>
        </r>
      </text>
    </comment>
    <comment ref="T87" authorId="0">
      <text>
        <r>
          <rPr>
            <sz val="8"/>
            <rFont val="Tahoma"/>
            <family val="0"/>
          </rPr>
          <t xml:space="preserve">Amended Sept 2006
</t>
        </r>
      </text>
    </comment>
    <comment ref="P96" authorId="0">
      <text>
        <r>
          <rPr>
            <sz val="8"/>
            <rFont val="Tahoma"/>
            <family val="0"/>
          </rPr>
          <t xml:space="preserve">Amended Sept 2006
</t>
        </r>
      </text>
    </comment>
    <comment ref="Q96" authorId="0">
      <text>
        <r>
          <rPr>
            <sz val="8"/>
            <rFont val="Tahoma"/>
            <family val="0"/>
          </rPr>
          <t xml:space="preserve">Amended Sept 2006
</t>
        </r>
      </text>
    </comment>
    <comment ref="T96" authorId="0">
      <text>
        <r>
          <rPr>
            <sz val="8"/>
            <rFont val="Tahoma"/>
            <family val="0"/>
          </rPr>
          <t xml:space="preserve">Amended Sept 2006
</t>
        </r>
      </text>
    </comment>
    <comment ref="P97" authorId="0">
      <text>
        <r>
          <rPr>
            <sz val="8"/>
            <rFont val="Tahoma"/>
            <family val="0"/>
          </rPr>
          <t xml:space="preserve">Amended Sept 2006
</t>
        </r>
      </text>
    </comment>
    <comment ref="Q97" authorId="0">
      <text>
        <r>
          <rPr>
            <sz val="8"/>
            <rFont val="Tahoma"/>
            <family val="0"/>
          </rPr>
          <t xml:space="preserve">Amended Sept 2006
</t>
        </r>
      </text>
    </comment>
    <comment ref="T97" authorId="0">
      <text>
        <r>
          <rPr>
            <sz val="8"/>
            <rFont val="Tahoma"/>
            <family val="0"/>
          </rPr>
          <t xml:space="preserve">Amended Sept 2006
</t>
        </r>
      </text>
    </comment>
    <comment ref="P98" authorId="0">
      <text>
        <r>
          <rPr>
            <sz val="8"/>
            <rFont val="Tahoma"/>
            <family val="0"/>
          </rPr>
          <t xml:space="preserve">Amended Sept 2006
</t>
        </r>
      </text>
    </comment>
    <comment ref="T98" authorId="0">
      <text>
        <r>
          <rPr>
            <sz val="8"/>
            <rFont val="Tahoma"/>
            <family val="0"/>
          </rPr>
          <t xml:space="preserve">Amended Sept 2006
</t>
        </r>
      </text>
    </comment>
    <comment ref="P99" authorId="0">
      <text>
        <r>
          <rPr>
            <sz val="8"/>
            <rFont val="Tahoma"/>
            <family val="0"/>
          </rPr>
          <t xml:space="preserve">Amended Sept 2006
</t>
        </r>
      </text>
    </comment>
    <comment ref="T99" authorId="0">
      <text>
        <r>
          <rPr>
            <sz val="8"/>
            <rFont val="Tahoma"/>
            <family val="0"/>
          </rPr>
          <t xml:space="preserve">Amended Sept 2006
</t>
        </r>
      </text>
    </comment>
    <comment ref="Q109" authorId="0">
      <text>
        <r>
          <rPr>
            <sz val="8"/>
            <rFont val="Tahoma"/>
            <family val="0"/>
          </rPr>
          <t xml:space="preserve">Amended Sept 2006
</t>
        </r>
      </text>
    </comment>
    <comment ref="R109" authorId="0">
      <text>
        <r>
          <rPr>
            <sz val="8"/>
            <rFont val="Tahoma"/>
            <family val="0"/>
          </rPr>
          <t xml:space="preserve">Amended Sept 2006
</t>
        </r>
      </text>
    </comment>
    <comment ref="Q110" authorId="0">
      <text>
        <r>
          <rPr>
            <sz val="8"/>
            <rFont val="Tahoma"/>
            <family val="0"/>
          </rPr>
          <t xml:space="preserve">Amended Sept 2006
</t>
        </r>
      </text>
    </comment>
    <comment ref="R110" authorId="0">
      <text>
        <r>
          <rPr>
            <sz val="8"/>
            <rFont val="Tahoma"/>
            <family val="0"/>
          </rPr>
          <t xml:space="preserve">Amended Sept 2006
</t>
        </r>
      </text>
    </comment>
    <comment ref="Q115" authorId="0">
      <text>
        <r>
          <rPr>
            <sz val="8"/>
            <rFont val="Tahoma"/>
            <family val="0"/>
          </rPr>
          <t xml:space="preserve">Amended Sept 2006
</t>
        </r>
      </text>
    </comment>
    <comment ref="R115" authorId="0">
      <text>
        <r>
          <rPr>
            <sz val="8"/>
            <rFont val="Tahoma"/>
            <family val="0"/>
          </rPr>
          <t xml:space="preserve">Amended Sept 2006
</t>
        </r>
      </text>
    </comment>
    <comment ref="Q116" authorId="0">
      <text>
        <r>
          <rPr>
            <sz val="8"/>
            <rFont val="Tahoma"/>
            <family val="0"/>
          </rPr>
          <t xml:space="preserve">Amended Sept 2006
</t>
        </r>
      </text>
    </comment>
    <comment ref="R116" authorId="0">
      <text>
        <r>
          <rPr>
            <sz val="8"/>
            <rFont val="Tahoma"/>
            <family val="0"/>
          </rPr>
          <t xml:space="preserve">Amended Sept 2006
</t>
        </r>
      </text>
    </comment>
    <comment ref="O122" authorId="1">
      <text>
        <r>
          <rPr>
            <b/>
            <sz val="10"/>
            <rFont val="Tahoma"/>
            <family val="0"/>
          </rPr>
          <t>Footnote amended September 2005</t>
        </r>
      </text>
    </comment>
    <comment ref="B84" authorId="0">
      <text>
        <r>
          <rPr>
            <sz val="8"/>
            <rFont val="Tahoma"/>
            <family val="0"/>
          </rPr>
          <t xml:space="preserve">Amended Sept 2006
</t>
        </r>
      </text>
    </comment>
    <comment ref="C84" authorId="0">
      <text>
        <r>
          <rPr>
            <sz val="8"/>
            <rFont val="Tahoma"/>
            <family val="0"/>
          </rPr>
          <t xml:space="preserve">Amended Sept 2006
</t>
        </r>
      </text>
    </comment>
    <comment ref="F84" authorId="0">
      <text>
        <r>
          <rPr>
            <sz val="8"/>
            <rFont val="Tahoma"/>
            <family val="0"/>
          </rPr>
          <t xml:space="preserve">Amended Sept 2006
</t>
        </r>
      </text>
    </comment>
    <comment ref="B85" authorId="0">
      <text>
        <r>
          <rPr>
            <sz val="8"/>
            <rFont val="Tahoma"/>
            <family val="0"/>
          </rPr>
          <t xml:space="preserve">Amended Sept 2006
</t>
        </r>
      </text>
    </comment>
    <comment ref="F85" authorId="0">
      <text>
        <r>
          <rPr>
            <sz val="8"/>
            <rFont val="Tahoma"/>
            <family val="0"/>
          </rPr>
          <t xml:space="preserve">Amended Sept 2006
</t>
        </r>
      </text>
    </comment>
    <comment ref="B86" authorId="0">
      <text>
        <r>
          <rPr>
            <sz val="8"/>
            <rFont val="Tahoma"/>
            <family val="0"/>
          </rPr>
          <t xml:space="preserve">Amended Sept 2006
</t>
        </r>
      </text>
    </comment>
    <comment ref="F86" authorId="0">
      <text>
        <r>
          <rPr>
            <sz val="8"/>
            <rFont val="Tahoma"/>
            <family val="0"/>
          </rPr>
          <t xml:space="preserve">Amended Sept 2006
</t>
        </r>
      </text>
    </comment>
    <comment ref="B87" authorId="0">
      <text>
        <r>
          <rPr>
            <sz val="8"/>
            <rFont val="Tahoma"/>
            <family val="0"/>
          </rPr>
          <t xml:space="preserve">Amended Sept 2006
</t>
        </r>
      </text>
    </comment>
    <comment ref="F87" authorId="0">
      <text>
        <r>
          <rPr>
            <sz val="8"/>
            <rFont val="Tahoma"/>
            <family val="0"/>
          </rPr>
          <t xml:space="preserve">Amended Sept 2006
</t>
        </r>
      </text>
    </comment>
    <comment ref="B96" authorId="0">
      <text>
        <r>
          <rPr>
            <sz val="8"/>
            <rFont val="Tahoma"/>
            <family val="0"/>
          </rPr>
          <t xml:space="preserve">Amended Sept 2006
</t>
        </r>
      </text>
    </comment>
    <comment ref="C96" authorId="0">
      <text>
        <r>
          <rPr>
            <sz val="8"/>
            <rFont val="Tahoma"/>
            <family val="0"/>
          </rPr>
          <t xml:space="preserve">Amended Sept 2006
</t>
        </r>
      </text>
    </comment>
    <comment ref="F96" authorId="0">
      <text>
        <r>
          <rPr>
            <sz val="8"/>
            <rFont val="Tahoma"/>
            <family val="0"/>
          </rPr>
          <t xml:space="preserve">Amended Sept 2006
</t>
        </r>
      </text>
    </comment>
    <comment ref="B97" authorId="0">
      <text>
        <r>
          <rPr>
            <sz val="8"/>
            <rFont val="Tahoma"/>
            <family val="0"/>
          </rPr>
          <t xml:space="preserve">Amended Sept 2006
</t>
        </r>
      </text>
    </comment>
    <comment ref="C97" authorId="0">
      <text>
        <r>
          <rPr>
            <sz val="8"/>
            <rFont val="Tahoma"/>
            <family val="0"/>
          </rPr>
          <t xml:space="preserve">Amended Sept 2006
</t>
        </r>
      </text>
    </comment>
    <comment ref="F97" authorId="0">
      <text>
        <r>
          <rPr>
            <sz val="8"/>
            <rFont val="Tahoma"/>
            <family val="0"/>
          </rPr>
          <t xml:space="preserve">Amended Sept 2006
</t>
        </r>
      </text>
    </comment>
    <comment ref="B98" authorId="0">
      <text>
        <r>
          <rPr>
            <sz val="8"/>
            <rFont val="Tahoma"/>
            <family val="0"/>
          </rPr>
          <t xml:space="preserve">Amended Sept 2006
</t>
        </r>
      </text>
    </comment>
    <comment ref="F98" authorId="0">
      <text>
        <r>
          <rPr>
            <sz val="8"/>
            <rFont val="Tahoma"/>
            <family val="0"/>
          </rPr>
          <t xml:space="preserve">Amended Sept 2006
</t>
        </r>
      </text>
    </comment>
    <comment ref="B99" authorId="0">
      <text>
        <r>
          <rPr>
            <sz val="8"/>
            <rFont val="Tahoma"/>
            <family val="0"/>
          </rPr>
          <t xml:space="preserve">Amended Sept 2006
</t>
        </r>
      </text>
    </comment>
    <comment ref="F99" authorId="0">
      <text>
        <r>
          <rPr>
            <sz val="8"/>
            <rFont val="Tahoma"/>
            <family val="0"/>
          </rPr>
          <t xml:space="preserve">Amended Sept 2006
</t>
        </r>
      </text>
    </comment>
    <comment ref="C109" authorId="0">
      <text>
        <r>
          <rPr>
            <sz val="8"/>
            <rFont val="Tahoma"/>
            <family val="0"/>
          </rPr>
          <t xml:space="preserve">Amended Sept 2006
</t>
        </r>
      </text>
    </comment>
    <comment ref="D109" authorId="0">
      <text>
        <r>
          <rPr>
            <sz val="8"/>
            <rFont val="Tahoma"/>
            <family val="0"/>
          </rPr>
          <t xml:space="preserve">Amended Sept 2006
</t>
        </r>
      </text>
    </comment>
    <comment ref="C110" authorId="0">
      <text>
        <r>
          <rPr>
            <sz val="8"/>
            <rFont val="Tahoma"/>
            <family val="0"/>
          </rPr>
          <t xml:space="preserve">Amended Sept 2006
</t>
        </r>
      </text>
    </comment>
    <comment ref="D110" authorId="0">
      <text>
        <r>
          <rPr>
            <sz val="8"/>
            <rFont val="Tahoma"/>
            <family val="0"/>
          </rPr>
          <t xml:space="preserve">Amended Sept 2006
</t>
        </r>
      </text>
    </comment>
    <comment ref="C115" authorId="0">
      <text>
        <r>
          <rPr>
            <sz val="8"/>
            <rFont val="Tahoma"/>
            <family val="0"/>
          </rPr>
          <t xml:space="preserve">Amended Sept 2006
</t>
        </r>
      </text>
    </comment>
    <comment ref="D115" authorId="0">
      <text>
        <r>
          <rPr>
            <sz val="8"/>
            <rFont val="Tahoma"/>
            <family val="0"/>
          </rPr>
          <t xml:space="preserve">Amended Sept 2006
</t>
        </r>
      </text>
    </comment>
    <comment ref="C116" authorId="0">
      <text>
        <r>
          <rPr>
            <sz val="8"/>
            <rFont val="Tahoma"/>
            <family val="0"/>
          </rPr>
          <t xml:space="preserve">Amended Sept 2006
</t>
        </r>
      </text>
    </comment>
    <comment ref="D116" authorId="0">
      <text>
        <r>
          <rPr>
            <sz val="8"/>
            <rFont val="Tahoma"/>
            <family val="0"/>
          </rPr>
          <t xml:space="preserve">Amended Sept 2006
</t>
        </r>
      </text>
    </comment>
    <comment ref="A122" authorId="1">
      <text>
        <r>
          <rPr>
            <b/>
            <sz val="10"/>
            <rFont val="Tahoma"/>
            <family val="0"/>
          </rPr>
          <t>Footnote amended September 2005</t>
        </r>
      </text>
    </comment>
  </commentList>
</comments>
</file>

<file path=xl/sharedStrings.xml><?xml version="1.0" encoding="utf-8"?>
<sst xmlns="http://schemas.openxmlformats.org/spreadsheetml/2006/main" count="1399" uniqueCount="749">
  <si>
    <t>Wind</t>
  </si>
  <si>
    <t>Biomass</t>
  </si>
  <si>
    <t>Tidal</t>
  </si>
  <si>
    <t>Nuclear</t>
  </si>
  <si>
    <t>Solar PV</t>
  </si>
  <si>
    <t>CCS</t>
  </si>
  <si>
    <t>Pollution (Mt CO2)</t>
  </si>
  <si>
    <t>Electricity</t>
  </si>
  <si>
    <t>Domestic</t>
  </si>
  <si>
    <t>Public administration</t>
  </si>
  <si>
    <t>Commercial</t>
  </si>
  <si>
    <t>Agriculture</t>
  </si>
  <si>
    <t>Industry</t>
  </si>
  <si>
    <t>Miscellaneous</t>
  </si>
  <si>
    <t>Adjusted Demand</t>
  </si>
  <si>
    <t>GW</t>
  </si>
  <si>
    <t>Total</t>
  </si>
  <si>
    <t>Fossil</t>
  </si>
  <si>
    <t>gCO2/kWh</t>
  </si>
  <si>
    <t>Coal (thermal)</t>
  </si>
  <si>
    <t>Oil (thermal)</t>
  </si>
  <si>
    <t>Gas (thermal)</t>
  </si>
  <si>
    <t>Units Used</t>
  </si>
  <si>
    <t>SI UNITS</t>
  </si>
  <si>
    <t>ENERGY</t>
  </si>
  <si>
    <t>ENERGY IN A CERTAIN TIME (POWER)</t>
  </si>
  <si>
    <t>MASS</t>
  </si>
  <si>
    <t>or more commonly…</t>
  </si>
  <si>
    <t>Joules</t>
  </si>
  <si>
    <t>grams (g)</t>
  </si>
  <si>
    <t>kilo</t>
  </si>
  <si>
    <t>kiloJoules (kJ)</t>
  </si>
  <si>
    <t>KiloWatt (kW)</t>
  </si>
  <si>
    <t>kilograms (kg)</t>
  </si>
  <si>
    <t>Mega</t>
  </si>
  <si>
    <t>MegaJoules (MJ)</t>
  </si>
  <si>
    <t>MegaWatt (MW)</t>
  </si>
  <si>
    <t>Megagrams</t>
  </si>
  <si>
    <t>tonnes (t)</t>
  </si>
  <si>
    <t>Giga</t>
  </si>
  <si>
    <t>GigaJoules (GJ)</t>
  </si>
  <si>
    <t>GigaWatt (kW)</t>
  </si>
  <si>
    <t>Gigagrams</t>
  </si>
  <si>
    <t>kilotonnes (kt)</t>
  </si>
  <si>
    <t>Tera</t>
  </si>
  <si>
    <t>TeraJoules (TJ)</t>
  </si>
  <si>
    <t>TeraWatt (TW)</t>
  </si>
  <si>
    <t>Teragrams</t>
  </si>
  <si>
    <t>Megatonnes (Mt)</t>
  </si>
  <si>
    <t>= million tonnes (Mt)</t>
  </si>
  <si>
    <t>Peta</t>
  </si>
  <si>
    <t>PetaJoules (PJ)</t>
  </si>
  <si>
    <t>Petagrams</t>
  </si>
  <si>
    <t>Gigatonnes (Gt)</t>
  </si>
  <si>
    <t>Billion tonnes</t>
  </si>
  <si>
    <t>Exa</t>
  </si>
  <si>
    <t>ExaJoules (EJ)</t>
  </si>
  <si>
    <t>Exagrams</t>
  </si>
  <si>
    <t>Teratonnes (Tt)</t>
  </si>
  <si>
    <t>UNITS OF AREA</t>
  </si>
  <si>
    <t>hectare (ha)</t>
  </si>
  <si>
    <t>=10,000 m2</t>
  </si>
  <si>
    <t>= 1 football pitch</t>
  </si>
  <si>
    <t>square km (km2)</t>
  </si>
  <si>
    <t>=1000,000 m2</t>
  </si>
  <si>
    <t>=100 ha</t>
  </si>
  <si>
    <t>acre</t>
  </si>
  <si>
    <t>=0.4 ha</t>
  </si>
  <si>
    <t xml:space="preserve">square mile </t>
  </si>
  <si>
    <t>Kilowatt hours</t>
  </si>
  <si>
    <t>kWh</t>
  </si>
  <si>
    <t>1 kWh is the energy needed to power 1kW (electric fire) for 1 hour (one 'unit' of electricity)</t>
  </si>
  <si>
    <t xml:space="preserve">1 Exa Joule </t>
  </si>
  <si>
    <t>=A Billion, Billion Joules</t>
  </si>
  <si>
    <t>ENERGY FLOW</t>
  </si>
  <si>
    <t>1 GigaWatt avg supply</t>
  </si>
  <si>
    <t>=1 Million x 1KW heaters</t>
  </si>
  <si>
    <t>~= 1 Nuclear Plant*</t>
  </si>
  <si>
    <t>CONVERSION</t>
  </si>
  <si>
    <t>GW Average supply</t>
  </si>
  <si>
    <t>ExaJoules / year</t>
  </si>
  <si>
    <t>TWh/year</t>
  </si>
  <si>
    <t>MTOE/year</t>
  </si>
  <si>
    <t>kW avg supply</t>
  </si>
  <si>
    <t>kWh/day</t>
  </si>
  <si>
    <t>DISCUSSION OF UNITS from (2)</t>
  </si>
  <si>
    <t>We convert our energy flows into GigaWatts (GW) for simplicity.</t>
  </si>
  <si>
    <t>(From Royal Commission on Environmental Pollution (2000) Energy - The Changing Climate)</t>
  </si>
  <si>
    <t>For purposes of comparison with the more conventional measures, one MTOE is the amount of energy</t>
  </si>
  <si>
    <t>released when one million tonnes of crude oil is burnt. (One million tonnes of gas would release rather</t>
  </si>
  <si>
    <t>more than one MTOE of energy when burnt, one million tonnes of coal rather less.) One MTOE is</t>
  </si>
  <si>
    <t>equivalent to an average rate of energy supply of 1.33 GW over a period of one year and an average rate</t>
  </si>
  <si>
    <t>of energy supply of one GW over one year is equivalent to 0.754 MTOE.</t>
  </si>
  <si>
    <t>One TWh is the quantity of energy supplied when one trillion watts of electrical power is generated</t>
  </si>
  <si>
    <t>continuously for one hour (or one billion watts for 1,000 hours). One TWh supplied over one year (1</t>
  </si>
  <si>
    <t>TWh/year) is equivalent to an average rate of energy supply of 0.114 GW and an average rate of energy</t>
  </si>
  <si>
    <t>supply of one GW is equivalent to 8.78 TWh/year.</t>
  </si>
  <si>
    <t>Dispensing with MTOE and TWh as measures of energy also simplifies discussion of the capacity and</t>
  </si>
  <si>
    <t>average output of energy sources. The maximum rate of energy supply from a plant which generates</t>
  </si>
  <si>
    <t>electricity is referred to as its capacity, commonly expressed in GW or MW. Where we refer to the</t>
  </si>
  <si>
    <t>capacity of a plant, we follow the same convention. But most plants do not operate at maximum capacity</t>
  </si>
  <si>
    <t>over extended periods of time, so their average output is less. We express this actual output in terms of</t>
  </si>
  <si>
    <t>the average rate of supply in GW over a year. The load factor of a generating plant is its average output</t>
  </si>
  <si>
    <t>divided by its capacity; thus a power station of 1 GW capacity with an average output of 0.5 GW over a</t>
  </si>
  <si>
    <t>year would have a load factor of 0.5.</t>
  </si>
  <si>
    <t>***</t>
  </si>
  <si>
    <t>A 1.25GW Nuclear Power station, with a load factor of 0.8% will have an energy output of 1GW.</t>
  </si>
  <si>
    <t>EMISSIONS INTENSITY OF ENERGY GENERATION</t>
  </si>
  <si>
    <t>Mt CO2 per year / GW</t>
  </si>
  <si>
    <t>Coal</t>
  </si>
  <si>
    <t>Gas</t>
  </si>
  <si>
    <t>Thermal</t>
  </si>
  <si>
    <t>Oil</t>
  </si>
  <si>
    <t>Total*</t>
  </si>
  <si>
    <t xml:space="preserve">World Average </t>
  </si>
  <si>
    <t>Burning 1 Tonne of Carbon (e.g. coal) generates approximately 4 Tonnes of CO2</t>
  </si>
  <si>
    <t>tC / tCO2</t>
  </si>
  <si>
    <t>Back to Contents</t>
  </si>
  <si>
    <t>SOURCE: BP</t>
  </si>
  <si>
    <t>Approximate conversion factors</t>
  </si>
  <si>
    <t>To</t>
  </si>
  <si>
    <t>tonnes</t>
  </si>
  <si>
    <t>US</t>
  </si>
  <si>
    <t>tonnes/</t>
  </si>
  <si>
    <t>Crude oil*</t>
  </si>
  <si>
    <t>(metric)</t>
  </si>
  <si>
    <t>kilolitres</t>
  </si>
  <si>
    <t>barrels</t>
  </si>
  <si>
    <t>gallons</t>
  </si>
  <si>
    <t>year</t>
  </si>
  <si>
    <t>From</t>
  </si>
  <si>
    <t>Multiply by</t>
  </si>
  <si>
    <t>Tonnes (metric)</t>
  </si>
  <si>
    <t>–</t>
  </si>
  <si>
    <t>Kilolitres</t>
  </si>
  <si>
    <t>Barrels</t>
  </si>
  <si>
    <t>US gallons</t>
  </si>
  <si>
    <t>Barrels/day</t>
  </si>
  <si>
    <t xml:space="preserve"> *Based on worldwide average gravity.</t>
  </si>
  <si>
    <t>To convert</t>
  </si>
  <si>
    <t>Products</t>
  </si>
  <si>
    <t>to tonnes</t>
  </si>
  <si>
    <t>to barrels</t>
  </si>
  <si>
    <t>to kilolitres</t>
  </si>
  <si>
    <t>LPG</t>
  </si>
  <si>
    <t>Gasoline</t>
  </si>
  <si>
    <t>Kerosene</t>
  </si>
  <si>
    <t>Gas oil/ diesel</t>
  </si>
  <si>
    <t>Residual fuel oil</t>
  </si>
  <si>
    <t>billion cubic</t>
  </si>
  <si>
    <t>million tonnes</t>
  </si>
  <si>
    <t>trillion British</t>
  </si>
  <si>
    <t>million barrels</t>
  </si>
  <si>
    <t>Natural gas and LNG</t>
  </si>
  <si>
    <t>metres NG</t>
  </si>
  <si>
    <t>feet NG</t>
  </si>
  <si>
    <t>oil equivalent</t>
  </si>
  <si>
    <t>LNG</t>
  </si>
  <si>
    <t>thermal units</t>
  </si>
  <si>
    <t>1 billion cubic metres NG</t>
  </si>
  <si>
    <t>1 billion cubic feet NG</t>
  </si>
  <si>
    <t>1 million tonnes oil equivalent</t>
  </si>
  <si>
    <t>1 million tonnes LNG</t>
  </si>
  <si>
    <t>1 trillion British thermal units</t>
  </si>
  <si>
    <t>1 million barrels oil equivalent</t>
  </si>
  <si>
    <t>Units</t>
  </si>
  <si>
    <t xml:space="preserve">1 metric tonne = 2204.62 lb. </t>
  </si>
  <si>
    <t>= 1.1023 short tons</t>
  </si>
  <si>
    <t>1 kilolitre = 6.2898 barrels</t>
  </si>
  <si>
    <t>1 kilolitre = 1 cubic metre</t>
  </si>
  <si>
    <t>1 kilocalorie (kcal) = 4.187 kJ = 3.968 Btu</t>
  </si>
  <si>
    <t>1 kilojoule (kJ) = 0.239 kcal = 0.948 Btu</t>
  </si>
  <si>
    <t>1 British thermal unit (Btu) = 0.252 kcal = 1.055 kJ</t>
  </si>
  <si>
    <t>1 kilowatt-hour (kWh) = 860 kcal = 3600 kJ = 3412 Btu</t>
  </si>
  <si>
    <t>Calorific equivalents</t>
  </si>
  <si>
    <t>One tonne of oil equivalent equals approximately:</t>
  </si>
  <si>
    <t xml:space="preserve">Heat units </t>
  </si>
  <si>
    <t>10 million kilocalories</t>
  </si>
  <si>
    <t>42 gigajoules</t>
  </si>
  <si>
    <t>40 million Btu</t>
  </si>
  <si>
    <t>Solid fuels</t>
  </si>
  <si>
    <t>1.5 tonnes of hard coal</t>
  </si>
  <si>
    <t>3 tonnes of lignite</t>
  </si>
  <si>
    <t>Gaseous fuels</t>
  </si>
  <si>
    <t xml:space="preserve">See Natural gas and LNG table </t>
  </si>
  <si>
    <t>12 megawatt-hours</t>
  </si>
  <si>
    <t>One million tonnes of oil produces about 4500 gigawatt-hours (=4.5 terawatt hours) of electricity in a modern power station.</t>
  </si>
  <si>
    <t>Other terms</t>
  </si>
  <si>
    <t>Tonnes: Metric tons</t>
  </si>
  <si>
    <r>
      <t xml:space="preserve"> = 0.01 km</t>
    </r>
    <r>
      <rPr>
        <vertAlign val="superscript"/>
        <sz val="9"/>
        <rFont val="Arial"/>
        <family val="2"/>
      </rPr>
      <t>2</t>
    </r>
  </si>
  <si>
    <r>
      <t>= 4050m</t>
    </r>
    <r>
      <rPr>
        <vertAlign val="superscript"/>
        <sz val="9"/>
        <rFont val="Arial"/>
        <family val="2"/>
      </rPr>
      <t>2</t>
    </r>
    <r>
      <rPr>
        <sz val="9"/>
        <rFont val="Arial"/>
        <family val="2"/>
      </rPr>
      <t xml:space="preserve"> </t>
    </r>
  </si>
  <si>
    <r>
      <t>= 0.0040 km</t>
    </r>
    <r>
      <rPr>
        <vertAlign val="superscript"/>
        <sz val="9"/>
        <rFont val="Arial"/>
        <family val="2"/>
      </rPr>
      <t>2</t>
    </r>
  </si>
  <si>
    <r>
      <t>= 2.6 × 10</t>
    </r>
    <r>
      <rPr>
        <vertAlign val="superscript"/>
        <sz val="9"/>
        <rFont val="Arial"/>
        <family val="2"/>
      </rPr>
      <t>6</t>
    </r>
    <r>
      <rPr>
        <sz val="9"/>
        <rFont val="Arial"/>
        <family val="2"/>
      </rPr>
      <t>m</t>
    </r>
    <r>
      <rPr>
        <vertAlign val="superscript"/>
        <sz val="9"/>
        <rFont val="Arial"/>
        <family val="2"/>
      </rPr>
      <t>2</t>
    </r>
    <r>
      <rPr>
        <sz val="9"/>
        <rFont val="Arial"/>
        <family val="2"/>
      </rPr>
      <t xml:space="preserve"> </t>
    </r>
  </si>
  <si>
    <r>
      <t>= 2.6 km</t>
    </r>
    <r>
      <rPr>
        <vertAlign val="superscript"/>
        <sz val="9"/>
        <rFont val="Arial"/>
        <family val="2"/>
      </rPr>
      <t>2</t>
    </r>
  </si>
  <si>
    <r>
      <t>=10</t>
    </r>
    <r>
      <rPr>
        <vertAlign val="superscript"/>
        <sz val="9"/>
        <rFont val="Arial"/>
        <family val="2"/>
      </rPr>
      <t>18</t>
    </r>
    <r>
      <rPr>
        <sz val="9"/>
        <rFont val="Arial"/>
        <family val="2"/>
      </rPr>
      <t>J</t>
    </r>
  </si>
  <si>
    <r>
      <t>=10</t>
    </r>
    <r>
      <rPr>
        <vertAlign val="superscript"/>
        <sz val="9"/>
        <rFont val="Arial"/>
        <family val="2"/>
      </rPr>
      <t>9</t>
    </r>
    <r>
      <rPr>
        <sz val="9"/>
        <rFont val="Arial"/>
        <family val="2"/>
      </rPr>
      <t>W</t>
    </r>
  </si>
  <si>
    <r>
      <t>* Emissions divided by primary energy (</t>
    </r>
    <r>
      <rPr>
        <i/>
        <sz val="9"/>
        <rFont val="Arial"/>
        <family val="2"/>
      </rPr>
      <t>Thermal energy</t>
    </r>
    <r>
      <rPr>
        <sz val="9"/>
        <rFont val="Arial"/>
        <family val="2"/>
      </rPr>
      <t xml:space="preserve"> from Coal, oil, gas but </t>
    </r>
    <r>
      <rPr>
        <i/>
        <sz val="9"/>
        <rFont val="Arial"/>
        <family val="2"/>
      </rPr>
      <t>Electricity</t>
    </r>
    <r>
      <rPr>
        <sz val="9"/>
        <rFont val="Arial"/>
        <family val="2"/>
      </rPr>
      <t xml:space="preserve"> from Nuclear Plants)</t>
    </r>
  </si>
  <si>
    <t>Watt = 1 Joule per second</t>
  </si>
  <si>
    <t>* e.g. a 1.25GW rated power station operating at 80% capacity. (c.f. AP1000 is rated 1GW, EPR is 1.4GW).</t>
  </si>
  <si>
    <t>1.1 Aggregate energy balance 2005</t>
  </si>
  <si>
    <t>Thousand tonnes of oil equivalent</t>
  </si>
  <si>
    <t>Primary oils</t>
  </si>
  <si>
    <t>Petroleum products</t>
  </si>
  <si>
    <t>Primary electricity</t>
  </si>
  <si>
    <t>Heat</t>
  </si>
  <si>
    <t xml:space="preserve">Supply </t>
  </si>
  <si>
    <t>Indigenous production</t>
  </si>
  <si>
    <t>Imports</t>
  </si>
  <si>
    <t>Exports</t>
  </si>
  <si>
    <t>Marine bunkers</t>
  </si>
  <si>
    <t>Primary supply</t>
  </si>
  <si>
    <t>Primary demand</t>
  </si>
  <si>
    <t>Transfers</t>
  </si>
  <si>
    <t>Transformation</t>
  </si>
  <si>
    <t>Electricity generation</t>
  </si>
  <si>
    <t>Major power producers</t>
  </si>
  <si>
    <t>Autogenerators</t>
  </si>
  <si>
    <t>Heat generation</t>
  </si>
  <si>
    <t>Petroleum refineries</t>
  </si>
  <si>
    <t>Coke manufacture</t>
  </si>
  <si>
    <t>Blast furnaces</t>
  </si>
  <si>
    <t>Patent fuel manufacture</t>
  </si>
  <si>
    <t>Other</t>
  </si>
  <si>
    <t>Energy industry use</t>
  </si>
  <si>
    <t>Oil and gas extraction</t>
  </si>
  <si>
    <t>Coal extraction</t>
  </si>
  <si>
    <t>Pumped storage</t>
  </si>
  <si>
    <t>Losses</t>
  </si>
  <si>
    <t>Final consumption</t>
  </si>
  <si>
    <t>Unclassified</t>
  </si>
  <si>
    <t>Iron and steel</t>
  </si>
  <si>
    <t>Non-ferrous metals</t>
  </si>
  <si>
    <t>Mineral products</t>
  </si>
  <si>
    <t>Chemicals</t>
  </si>
  <si>
    <t>Mechanical engineering etc</t>
  </si>
  <si>
    <t>Electrical engineering etc</t>
  </si>
  <si>
    <t>Vehicles</t>
  </si>
  <si>
    <t>Food, beverages etc</t>
  </si>
  <si>
    <t>Textiles, leather etc</t>
  </si>
  <si>
    <t>Paper, printing etc</t>
  </si>
  <si>
    <t>Other industries</t>
  </si>
  <si>
    <t>Construction</t>
  </si>
  <si>
    <t>Air</t>
  </si>
  <si>
    <t>Rail</t>
  </si>
  <si>
    <t>Road</t>
  </si>
  <si>
    <t>National navigation</t>
  </si>
  <si>
    <t>Pipelines</t>
  </si>
  <si>
    <t>Non energy use</t>
  </si>
  <si>
    <t>(1)  Includes all manufactured solid fuels, benzole, tars, coke oven gas and blast furnace gas.</t>
  </si>
  <si>
    <t>(2)  Includes colliery methane.</t>
  </si>
  <si>
    <t>(3)  Includes geothermal and solar heat.</t>
  </si>
  <si>
    <t>(4)  Stock fall (+), stock rise (-).</t>
  </si>
  <si>
    <t>(5)  Primary supply minus primary demand.</t>
  </si>
  <si>
    <t>(6)  See paragraph 5.14 regarding electricity use in transport</t>
  </si>
  <si>
    <r>
      <t>Manufactured fuel</t>
    </r>
    <r>
      <rPr>
        <i/>
        <sz val="8.5"/>
        <rFont val="Arial"/>
        <family val="2"/>
      </rPr>
      <t>(1)</t>
    </r>
  </si>
  <si>
    <r>
      <t>Natural gas</t>
    </r>
    <r>
      <rPr>
        <i/>
        <sz val="8.5"/>
        <rFont val="Arial"/>
        <family val="2"/>
      </rPr>
      <t>(2)</t>
    </r>
  </si>
  <si>
    <r>
      <t>Renewable &amp; waste</t>
    </r>
    <r>
      <rPr>
        <i/>
        <sz val="8.5"/>
        <rFont val="Arial"/>
        <family val="2"/>
      </rPr>
      <t>(3)</t>
    </r>
  </si>
  <si>
    <r>
      <t>Stock change</t>
    </r>
    <r>
      <rPr>
        <i/>
        <sz val="8"/>
        <rFont val="Arial"/>
        <family val="2"/>
      </rPr>
      <t>(4)</t>
    </r>
  </si>
  <si>
    <r>
      <t>Statistical difference</t>
    </r>
    <r>
      <rPr>
        <i/>
        <sz val="8.5"/>
        <rFont val="Arial"/>
        <family val="2"/>
      </rPr>
      <t>(5)</t>
    </r>
  </si>
  <si>
    <r>
      <t xml:space="preserve">Transport </t>
    </r>
    <r>
      <rPr>
        <i/>
        <sz val="8.5"/>
        <rFont val="Arial"/>
        <family val="2"/>
      </rPr>
      <t>(6)</t>
    </r>
  </si>
  <si>
    <t>5.6  Electricity fuel use, generation and supply</t>
  </si>
  <si>
    <t>GWh</t>
  </si>
  <si>
    <t>Thermal sources</t>
  </si>
  <si>
    <t>Non-thermal sources</t>
  </si>
  <si>
    <t>Renew-</t>
  </si>
  <si>
    <t xml:space="preserve">Other </t>
  </si>
  <si>
    <t>Hydro-</t>
  </si>
  <si>
    <t>ables</t>
  </si>
  <si>
    <t>(3)</t>
  </si>
  <si>
    <t>natural</t>
  </si>
  <si>
    <t>pumped</t>
  </si>
  <si>
    <t>(4)</t>
  </si>
  <si>
    <t>All</t>
  </si>
  <si>
    <t>(1)</t>
  </si>
  <si>
    <t>flow</t>
  </si>
  <si>
    <t>storage</t>
  </si>
  <si>
    <t>sources</t>
  </si>
  <si>
    <r>
      <t>Major power producers</t>
    </r>
    <r>
      <rPr>
        <sz val="8.5"/>
        <rFont val="Arial"/>
        <family val="2"/>
      </rPr>
      <t xml:space="preserve"> </t>
    </r>
    <r>
      <rPr>
        <i/>
        <sz val="8.5"/>
        <rFont val="Arial"/>
        <family val="2"/>
      </rPr>
      <t>(2)</t>
    </r>
  </si>
  <si>
    <t xml:space="preserve">Fuel used </t>
  </si>
  <si>
    <t>Generation</t>
  </si>
  <si>
    <t>Used on works</t>
  </si>
  <si>
    <t>Supplied (gross)</t>
  </si>
  <si>
    <t>Used in pumping</t>
  </si>
  <si>
    <t>Supplied (net)</t>
  </si>
  <si>
    <r>
      <t>Other generators</t>
    </r>
    <r>
      <rPr>
        <i/>
        <sz val="8.5"/>
        <rFont val="Arial"/>
        <family val="2"/>
      </rPr>
      <t xml:space="preserve"> (2)</t>
    </r>
  </si>
  <si>
    <t xml:space="preserve">Generation </t>
  </si>
  <si>
    <t xml:space="preserve">Supplied </t>
  </si>
  <si>
    <t>All generating companies</t>
  </si>
  <si>
    <t>Fuel used</t>
  </si>
  <si>
    <t xml:space="preserve"> </t>
  </si>
  <si>
    <t>Conv-</t>
  </si>
  <si>
    <t>CCGT</t>
  </si>
  <si>
    <t>entional</t>
  </si>
  <si>
    <t>thermal</t>
  </si>
  <si>
    <t>(5)</t>
  </si>
  <si>
    <r>
      <t>Major power producers</t>
    </r>
    <r>
      <rPr>
        <b/>
        <i/>
        <sz val="8.5"/>
        <rFont val="Arial"/>
        <family val="2"/>
      </rPr>
      <t xml:space="preserve"> </t>
    </r>
    <r>
      <rPr>
        <i/>
        <sz val="8.5"/>
        <rFont val="Arial"/>
        <family val="2"/>
      </rPr>
      <t>(2)</t>
    </r>
  </si>
  <si>
    <t>Generated</t>
  </si>
  <si>
    <t>Other generators</t>
  </si>
  <si>
    <t>(1)  Thermal renewable sources are those included under biofuels and non-biodegradable wastes in Chapter 7.</t>
  </si>
  <si>
    <t>(2)  See paragraphs 5.49 and 5.50 on companies covered.</t>
  </si>
  <si>
    <t>(3)  Other thermal sources include coke oven gas, blast furnace gas and waste products from chemical processes.</t>
  </si>
  <si>
    <t>(4)  Other non-thermal sources include wind, wave and solar photovoltaics.</t>
  </si>
  <si>
    <t xml:space="preserve">(5)  Includes gas turbines, oil engines and plants producing electricity from thermal renewable sources; also stations with some CCGT </t>
  </si>
  <si>
    <t xml:space="preserve">      capacity but mainly operate in conventional thermal mode.</t>
  </si>
  <si>
    <t>Average rate of energy supply (GigaWatts)</t>
  </si>
  <si>
    <t>GWh/year</t>
  </si>
  <si>
    <t>ktoe</t>
  </si>
  <si>
    <t>&lt;- Conversion &lt;-</t>
  </si>
  <si>
    <t>Zero Carbon Allocated</t>
  </si>
  <si>
    <t>Zero Carbon Available</t>
  </si>
  <si>
    <t>(Thousand tonnes of oil equivalent)</t>
  </si>
  <si>
    <t>(Million tonnes of oil equivalent)</t>
  </si>
  <si>
    <t>Energy Source</t>
  </si>
  <si>
    <t>Domestic Electricity</t>
  </si>
  <si>
    <t>Public administration Electricity</t>
  </si>
  <si>
    <t>Commercial Electricity</t>
  </si>
  <si>
    <t>Industry Electricity</t>
  </si>
  <si>
    <t>Reductions</t>
  </si>
  <si>
    <t>Original Demand</t>
  </si>
  <si>
    <t>Remaining Fossil</t>
  </si>
  <si>
    <t>Domestic Fossil Fuel</t>
  </si>
  <si>
    <t>Public administration Fossil Fuel</t>
  </si>
  <si>
    <t>Commercial Fossil Fuel</t>
  </si>
  <si>
    <t>Industry Fossil Fuel</t>
  </si>
  <si>
    <t>Rail Transport Fossil Fuel</t>
  </si>
  <si>
    <t>Sea Transport Fossil Fuel</t>
  </si>
  <si>
    <t>Air Transport Fossil Fuel</t>
  </si>
  <si>
    <t>Miscellaneous Fossil Fuel</t>
  </si>
  <si>
    <t>Fossil Fuel - Convertible</t>
  </si>
  <si>
    <t>Coal with CCS</t>
  </si>
  <si>
    <t>Existing Nuclear</t>
  </si>
  <si>
    <t>Existing Hydro</t>
  </si>
  <si>
    <t>Existing Biomass/Waste</t>
  </si>
  <si>
    <t>New Biomass/Waste Electricity</t>
  </si>
  <si>
    <t>Electricity Supply</t>
  </si>
  <si>
    <t xml:space="preserve">Oil </t>
  </si>
  <si>
    <t>Energy Demand</t>
  </si>
  <si>
    <t>Existing Zero Carbon Sources</t>
  </si>
  <si>
    <t>New Zero Carbon Capacity</t>
  </si>
  <si>
    <t>Subtotal</t>
  </si>
  <si>
    <t>Manufactured fuel(1)</t>
  </si>
  <si>
    <t>Natural gas(2)</t>
  </si>
  <si>
    <t>Renewable &amp; waste(3)</t>
  </si>
  <si>
    <t>Stock change(4)</t>
  </si>
  <si>
    <t>Statistical difference(5)</t>
  </si>
  <si>
    <t>Transport (6)</t>
  </si>
  <si>
    <t>Major power producers (2)</t>
  </si>
  <si>
    <t>Other generators (2)</t>
  </si>
  <si>
    <t>Total Existing Supply</t>
  </si>
  <si>
    <t>Total FF Convertible</t>
  </si>
  <si>
    <t>Total FF Non-Convertible</t>
  </si>
  <si>
    <t>Now</t>
  </si>
  <si>
    <t>With Reductions</t>
  </si>
  <si>
    <t>Pollution</t>
  </si>
  <si>
    <t>With Conversion</t>
  </si>
  <si>
    <t>Remaining Fossil Electricity</t>
  </si>
  <si>
    <t>Other Electricity</t>
  </si>
  <si>
    <t>Primary Energy Demand</t>
  </si>
  <si>
    <t>Primary Fossil Energy Demand</t>
  </si>
  <si>
    <t>Fuel input to Electricity</t>
  </si>
  <si>
    <t>Waste/Leaks/Other</t>
  </si>
  <si>
    <t>Fossil Fuel Non-Convertible</t>
  </si>
  <si>
    <t>Fossil Fuel Supply</t>
  </si>
  <si>
    <t>Total New Capacity</t>
  </si>
  <si>
    <t>Total Final Energy</t>
  </si>
  <si>
    <t>Total Useful Energy (GW)</t>
  </si>
  <si>
    <t xml:space="preserve">Useful Fossil Fuel </t>
  </si>
  <si>
    <t>Summary Useful Energy Supply</t>
  </si>
  <si>
    <t>Useful Fossil Fuels</t>
  </si>
  <si>
    <t>Of Which:</t>
  </si>
  <si>
    <t>Electricity (GWe)</t>
  </si>
  <si>
    <t>Fossil Input (GWth)</t>
  </si>
  <si>
    <t>Mt CO2/GWth</t>
  </si>
  <si>
    <t>Mt CO2/GWe</t>
  </si>
  <si>
    <t>Summary</t>
  </si>
  <si>
    <t>Fuel</t>
  </si>
  <si>
    <t>(GWth)</t>
  </si>
  <si>
    <t>Existing Renewable</t>
  </si>
  <si>
    <t>Net Imports</t>
  </si>
  <si>
    <t>UK Electricity overall average</t>
  </si>
  <si>
    <t>gCO2</t>
  </si>
  <si>
    <t>gC</t>
  </si>
  <si>
    <t>Thermal Fossil Emissions only include direct use</t>
  </si>
  <si>
    <t>Renewable/Nuclear electricity includes whole life cycle</t>
  </si>
  <si>
    <t>UK Population</t>
  </si>
  <si>
    <t>million</t>
  </si>
  <si>
    <t>Assumptions</t>
  </si>
  <si>
    <t>Unit Conversions</t>
  </si>
  <si>
    <t>UK Fossil Electricity average</t>
  </si>
  <si>
    <t>UK Fossil Thermal average</t>
  </si>
  <si>
    <t>POLLUTION AFTER  ENERGY SUPPLY INVESTMENT</t>
  </si>
  <si>
    <t>1 barrel = 0.14 tonne oil = 0.12 tonne coal = 0.44 tonne CO2</t>
  </si>
  <si>
    <t>$50/barrel = $113/tonne CO2</t>
  </si>
  <si>
    <t>Build a Severn barrage</t>
  </si>
  <si>
    <t>ZERO CARBON ENERGY SUPPLY</t>
  </si>
  <si>
    <t>Each unit of zero carbon electricity replaces unit of fossil-fueled electricity until existing electricity system is converted</t>
  </si>
  <si>
    <t>UK CARBON FOOTPRINT AFTER REDUCTION IN ENERGY USE</t>
  </si>
  <si>
    <t>Everyone (business &amp; leisure) cuts down on air travel by</t>
  </si>
  <si>
    <t>Conversion</t>
  </si>
  <si>
    <r>
      <t>Then each unit of electricity replaces a unit of fossil fuel energy (1kWh</t>
    </r>
    <r>
      <rPr>
        <i/>
        <vertAlign val="subscript"/>
        <sz val="8"/>
        <rFont val="Arial"/>
        <family val="2"/>
      </rPr>
      <t>e</t>
    </r>
    <r>
      <rPr>
        <i/>
        <sz val="8"/>
        <rFont val="Arial"/>
        <family val="2"/>
      </rPr>
      <t xml:space="preserve"> of zero carbon energy is used to replace 1kWh</t>
    </r>
    <r>
      <rPr>
        <i/>
        <vertAlign val="subscript"/>
        <sz val="8"/>
        <rFont val="Arial"/>
        <family val="2"/>
      </rPr>
      <t>th</t>
    </r>
    <r>
      <rPr>
        <i/>
        <sz val="8"/>
        <rFont val="Arial"/>
        <family val="2"/>
      </rPr>
      <t xml:space="preserve"> of fossil fuels in a useful form)</t>
    </r>
  </si>
  <si>
    <t>Demand (GWth)</t>
  </si>
  <si>
    <t xml:space="preserve"> (Fossil Fuel Energy Use Only)</t>
  </si>
  <si>
    <t>Primary Demand</t>
  </si>
  <si>
    <t>Hydro</t>
  </si>
  <si>
    <t>Crude</t>
  </si>
  <si>
    <t>Petroleum</t>
  </si>
  <si>
    <t>Geothermal,</t>
  </si>
  <si>
    <t>Solar, etc.</t>
  </si>
  <si>
    <t>Combustibles</t>
  </si>
  <si>
    <t>Renewables</t>
  </si>
  <si>
    <t>and Waste</t>
  </si>
  <si>
    <t>Production</t>
  </si>
  <si>
    <t>International Marine Bunkers**</t>
  </si>
  <si>
    <t>Stock Changes</t>
  </si>
  <si>
    <t>Statistical Differences</t>
  </si>
  <si>
    <t>Electricity Plants</t>
  </si>
  <si>
    <t>CHP Plants</t>
  </si>
  <si>
    <t>Heat Plants</t>
  </si>
  <si>
    <t>Gas Works</t>
  </si>
  <si>
    <t>Petroleum Refineries</t>
  </si>
  <si>
    <t>Coal Transformation</t>
  </si>
  <si>
    <t>Liquefaction Plants</t>
  </si>
  <si>
    <t>Other Transformation</t>
  </si>
  <si>
    <t>Own Use</t>
  </si>
  <si>
    <t>Distribution Losses</t>
  </si>
  <si>
    <t>Residential</t>
  </si>
  <si>
    <t>Commercial and Public Services</t>
  </si>
  <si>
    <t>Agriculture / Forestry</t>
  </si>
  <si>
    <t>Fishing</t>
  </si>
  <si>
    <t>Non-Specified</t>
  </si>
  <si>
    <t>- of which</t>
  </si>
  <si>
    <t>Petrochemical Feedstocks</t>
  </si>
  <si>
    <t>4035</t>
  </si>
  <si>
    <t>6547</t>
  </si>
  <si>
    <t>335270</t>
  </si>
  <si>
    <t>107186</t>
  </si>
  <si>
    <t>0</t>
  </si>
  <si>
    <t>527</t>
  </si>
  <si>
    <t>453565</t>
  </si>
  <si>
    <t>World Energy</t>
  </si>
  <si>
    <t>UK Energy</t>
  </si>
  <si>
    <t>SUMMARY GW</t>
  </si>
  <si>
    <t>SUPPLY and CONSUMPTION</t>
  </si>
  <si>
    <t>TPES</t>
  </si>
  <si>
    <t>Non-Energy Use</t>
  </si>
  <si>
    <t>Total Primary Energy</t>
  </si>
  <si>
    <t>Other Energy Industry</t>
  </si>
  <si>
    <t>TFC</t>
  </si>
  <si>
    <t>Industry sector</t>
  </si>
  <si>
    <t>Transport sector</t>
  </si>
  <si>
    <t>Transport</t>
  </si>
  <si>
    <t>Agr/For/Fish</t>
  </si>
  <si>
    <t>Other sectors</t>
  </si>
  <si>
    <t>Thousand Tonnes of Oil Equivalent</t>
  </si>
  <si>
    <t>6339</t>
  </si>
  <si>
    <t>775</t>
  </si>
  <si>
    <t>7114</t>
  </si>
  <si>
    <t>UK Electricity Options</t>
  </si>
  <si>
    <t xml:space="preserve">Onshore wind power </t>
  </si>
  <si>
    <t xml:space="preserve">Offshore wind power </t>
  </si>
  <si>
    <t>Solar photovoltaics</t>
  </si>
  <si>
    <t>Agricultural and Forest Residues</t>
  </si>
  <si>
    <t>Landfill gas</t>
  </si>
  <si>
    <t>Municipal solid waste</t>
  </si>
  <si>
    <t xml:space="preserve">Tidal power </t>
  </si>
  <si>
    <t>Wave power</t>
  </si>
  <si>
    <t>MacKay</t>
  </si>
  <si>
    <t>IEE</t>
  </si>
  <si>
    <t>Road Transport</t>
  </si>
  <si>
    <t>Air Travel</t>
  </si>
  <si>
    <t>Public electricity and heat production</t>
  </si>
  <si>
    <t>Petroleum refining</t>
  </si>
  <si>
    <t>Manufacture of solid fuels and other energy industries</t>
  </si>
  <si>
    <t>Other industrial fuel combustion</t>
  </si>
  <si>
    <t>Passenger cars</t>
  </si>
  <si>
    <t>Light duty vehicles</t>
  </si>
  <si>
    <t>Buses</t>
  </si>
  <si>
    <t>HGVs</t>
  </si>
  <si>
    <t>Mopeds &amp; motorcycles</t>
  </si>
  <si>
    <t>LPG emissions (all vehicles)</t>
  </si>
  <si>
    <t>Other (road vehicle engines)</t>
  </si>
  <si>
    <t>Civil aviation (Domestic, Landing and take off)</t>
  </si>
  <si>
    <t>Civil aviation (Domestic, Cruise)</t>
  </si>
  <si>
    <t>Railways</t>
  </si>
  <si>
    <t>Other mobile sources and machinery</t>
  </si>
  <si>
    <t>Residential plant</t>
  </si>
  <si>
    <t>Household and gardening (mobile)</t>
  </si>
  <si>
    <t>Stationary</t>
  </si>
  <si>
    <t>Off-road vehicles and other machinery</t>
  </si>
  <si>
    <t>Solid fuel transformation</t>
  </si>
  <si>
    <t>Exploration production, transport</t>
  </si>
  <si>
    <t>Flaring</t>
  </si>
  <si>
    <t>Venting</t>
  </si>
  <si>
    <t>Cement production</t>
  </si>
  <si>
    <t>Lime production</t>
  </si>
  <si>
    <t>Limestone and dolomite use</t>
  </si>
  <si>
    <t>Soda ash production and use</t>
  </si>
  <si>
    <t>Fletton Bricks</t>
  </si>
  <si>
    <t>Ammonia production</t>
  </si>
  <si>
    <t>Energy recovery &amp; breakdown of hydrocarbon products</t>
  </si>
  <si>
    <t>Metal production: Iron &amp; Steel</t>
  </si>
  <si>
    <t>Metal production: Aluminium production</t>
  </si>
  <si>
    <t>Landfill</t>
  </si>
  <si>
    <t>Waste incineration</t>
  </si>
  <si>
    <t>Everyone turns down thermostat by 2 degrees</t>
  </si>
  <si>
    <t>Nuclear I</t>
  </si>
  <si>
    <t>Nuclear II</t>
  </si>
  <si>
    <t>W/m2</t>
  </si>
  <si>
    <t>Solar Thermal</t>
  </si>
  <si>
    <t>Biofuel</t>
  </si>
  <si>
    <t>Shallow Offshore Wind</t>
  </si>
  <si>
    <t>Total Space</t>
  </si>
  <si>
    <t>kW</t>
  </si>
  <si>
    <t>Space (m2)</t>
  </si>
  <si>
    <t>Everyone cuts down on use of cars by</t>
  </si>
  <si>
    <t>Everyone switches to low-energy lightbulbs</t>
  </si>
  <si>
    <t>Energy Crops</t>
  </si>
  <si>
    <t>50% reduction</t>
  </si>
  <si>
    <t>Space Used</t>
  </si>
  <si>
    <t>Manufacturing industries and construction</t>
  </si>
  <si>
    <t>Commercial and institutional</t>
  </si>
  <si>
    <t>Military aircraft and shipping</t>
  </si>
  <si>
    <t>Fugitive emissions from fuels</t>
  </si>
  <si>
    <t>Industrial processes</t>
  </si>
  <si>
    <t>Waste treatment and disposal</t>
  </si>
  <si>
    <t>Road transport</t>
  </si>
  <si>
    <t>United Kingdom</t>
  </si>
  <si>
    <t>Million tonnes  Carbon Dioxide</t>
  </si>
  <si>
    <t>IPCC Sector</t>
  </si>
  <si>
    <t>Energy industries</t>
  </si>
  <si>
    <t>1A1</t>
  </si>
  <si>
    <t>1A1a</t>
  </si>
  <si>
    <t>1A1b</t>
  </si>
  <si>
    <t>1A1c</t>
  </si>
  <si>
    <t>1A2</t>
  </si>
  <si>
    <t>1A2a</t>
  </si>
  <si>
    <t>1A2f</t>
  </si>
  <si>
    <t>1A3b</t>
  </si>
  <si>
    <t>1A3bi</t>
  </si>
  <si>
    <t>1A3bii</t>
  </si>
  <si>
    <t>1A3biii(i)</t>
  </si>
  <si>
    <t>1A3biii(ii)</t>
  </si>
  <si>
    <t>1A3biv</t>
  </si>
  <si>
    <t>Other - transport</t>
  </si>
  <si>
    <t>1A3(a,c,d,e)</t>
  </si>
  <si>
    <t>1A3aii(i)</t>
  </si>
  <si>
    <t>1A3aii(ii)</t>
  </si>
  <si>
    <t>1A3c</t>
  </si>
  <si>
    <t>1A3dii</t>
  </si>
  <si>
    <t>1A3eii</t>
  </si>
  <si>
    <t>1A4a</t>
  </si>
  <si>
    <t>1A4b</t>
  </si>
  <si>
    <t>1A4bi</t>
  </si>
  <si>
    <t>1A4bii</t>
  </si>
  <si>
    <t>Agriculture and forestry fuel use</t>
  </si>
  <si>
    <t>1A4c</t>
  </si>
  <si>
    <t>1A4ci</t>
  </si>
  <si>
    <t>1A4cii</t>
  </si>
  <si>
    <t>1A5b</t>
  </si>
  <si>
    <t>1B</t>
  </si>
  <si>
    <t>1B1b</t>
  </si>
  <si>
    <t>1B2ai</t>
  </si>
  <si>
    <t>1B2c</t>
  </si>
  <si>
    <t>2</t>
  </si>
  <si>
    <t>2A1</t>
  </si>
  <si>
    <t>2A2</t>
  </si>
  <si>
    <t>2A3</t>
  </si>
  <si>
    <t>2A4</t>
  </si>
  <si>
    <t>2A7</t>
  </si>
  <si>
    <t>2B1</t>
  </si>
  <si>
    <t>2B5</t>
  </si>
  <si>
    <t>2C1</t>
  </si>
  <si>
    <t>2C3</t>
  </si>
  <si>
    <t>6</t>
  </si>
  <si>
    <t>6A</t>
  </si>
  <si>
    <t>6C</t>
  </si>
  <si>
    <t>Land Use, Land-Use Change and Forestry (LULUCF)</t>
  </si>
  <si>
    <t>Forest Land</t>
  </si>
  <si>
    <t>5A</t>
  </si>
  <si>
    <t>..</t>
  </si>
  <si>
    <t>Cropland</t>
  </si>
  <si>
    <t>5B</t>
  </si>
  <si>
    <t>Grassland</t>
  </si>
  <si>
    <t>5C</t>
  </si>
  <si>
    <t>Wetlands</t>
  </si>
  <si>
    <t>5D</t>
  </si>
  <si>
    <t xml:space="preserve">Settlements </t>
  </si>
  <si>
    <t>5E</t>
  </si>
  <si>
    <t>Other Land</t>
  </si>
  <si>
    <t>5F</t>
  </si>
  <si>
    <t>5G</t>
  </si>
  <si>
    <t>International bunkers - Aviation (Landing and take off)</t>
  </si>
  <si>
    <t>1A3ai(i)</t>
  </si>
  <si>
    <t>International bunkers - Aviation (Cruise)</t>
  </si>
  <si>
    <t>1A3ai(ii)</t>
  </si>
  <si>
    <t>International bunkers - Aircraft Engines</t>
  </si>
  <si>
    <t>1A3a</t>
  </si>
  <si>
    <t>International bunkers - Navigation</t>
  </si>
  <si>
    <t>1A3di(i)</t>
  </si>
  <si>
    <t>Expressed in terms of weight of carbon emitted.  In terms of weight of carbon dioxide emitted the figures should be multiplied by 44/12. Most of the figures in this</t>
  </si>
  <si>
    <t xml:space="preserve">e.g. wood, straw and some wastes, are excluded because they are part of the carbon cycle. </t>
  </si>
  <si>
    <t>Industrial fuel combustion (including for cement, lime and NH3 production), Autogenerators and industrial off-road mobile machinery</t>
  </si>
  <si>
    <t>Aircraft - support vehicles</t>
  </si>
  <si>
    <t xml:space="preserve">Other' emissions includes non fuel use. </t>
  </si>
  <si>
    <t>Figures for end users include emissions from power stations and other fuel processing industries such as refinaries which have been allocated, on an approximate basis, to the various sectors according to their use.</t>
  </si>
  <si>
    <t>Emissions arising from the production and refining of petroleum fuels that are finally exported or used by international shipping and aviation.</t>
  </si>
  <si>
    <t>Categories not included in the national total that is reported to the IPPC</t>
  </si>
  <si>
    <t>Carbon emitted during energy recovery in the chemical industry and from the breakdown of pesticides, soaps, shampoos and detergents produced from fossil fuels</t>
  </si>
  <si>
    <t>Emissions from agricultural soils are now counted within land use, land-use change and forestry.</t>
  </si>
  <si>
    <t>Shows net emissions - that is total emissions from sources minus total removals from sinks</t>
  </si>
  <si>
    <t xml:space="preserve">Excluded' includes emissions from Crown Dependencies and Land Use, Land-Use Change and Forestry (LULUCF) </t>
  </si>
  <si>
    <t>Previously contained fishing fuel use, fishing now included within coastal shipping under national navigation</t>
  </si>
  <si>
    <t>Other emissions in this sector include crown dependancies, miscellaneous and emissions which can't be allocated to an end user</t>
  </si>
  <si>
    <t>The majority of these sectors not available prior to 1990</t>
  </si>
  <si>
    <t>UK national emission estimates are updated annually and any developments in methodology are applied retrospectively to earlier years.</t>
  </si>
  <si>
    <t xml:space="preserve">This table includes emissions from Crown Dependencies of Jersey, Guernsey and Isle of Man from 1990 only, and excludes emissions from Overseas Territories. </t>
  </si>
  <si>
    <t>Source publication: e-Digest of Environmental Statistics, Published January 2007</t>
  </si>
  <si>
    <t xml:space="preserve">Department for Environment, Food and Rural Affairs </t>
  </si>
  <si>
    <t xml:space="preserve">http://www.defra.gov.uk/environment/statistics/index.htm </t>
  </si>
  <si>
    <r>
      <t>Other</t>
    </r>
    <r>
      <rPr>
        <i/>
        <sz val="12"/>
        <rFont val="Arial"/>
        <family val="2"/>
      </rPr>
      <t xml:space="preserve">       </t>
    </r>
  </si>
  <si>
    <r>
      <t>Source</t>
    </r>
    <r>
      <rPr>
        <i/>
        <sz val="12"/>
        <rFont val="Arial"/>
        <family val="2"/>
      </rPr>
      <t>: AEA Energy &amp; Environment</t>
    </r>
  </si>
  <si>
    <r>
      <t>table are based on a single carbon content for each fuel which is held constant over time. Emissions of CO</t>
    </r>
    <r>
      <rPr>
        <vertAlign val="subscript"/>
        <sz val="12"/>
        <color indexed="8"/>
        <rFont val="Arial"/>
        <family val="2"/>
      </rPr>
      <t>2</t>
    </r>
    <r>
      <rPr>
        <sz val="12"/>
        <color indexed="8"/>
        <rFont val="Arial"/>
        <family val="2"/>
      </rPr>
      <t xml:space="preserve"> from combustion of recently photosynthesised fuel, </t>
    </r>
  </si>
  <si>
    <t>Total including aviation international, but excluding Land Use</t>
  </si>
  <si>
    <t>(Aviation &amp; Other without international)</t>
  </si>
  <si>
    <t>Aviation including intl bunkers</t>
  </si>
  <si>
    <r>
      <t>Table 5 Estimated emissions</t>
    </r>
    <r>
      <rPr>
        <b/>
        <vertAlign val="superscript"/>
        <sz val="14"/>
        <rFont val="Arial"/>
        <family val="2"/>
      </rPr>
      <t>1</t>
    </r>
    <r>
      <rPr>
        <b/>
        <sz val="14"/>
        <rFont val="Arial"/>
        <family val="2"/>
      </rPr>
      <t xml:space="preserve"> of carbon dioxide by IPCC source category, type of fuel and end user: 2005</t>
    </r>
  </si>
  <si>
    <t>(200% increase)</t>
  </si>
  <si>
    <t>(100% increase)</t>
  </si>
  <si>
    <t>(50% increase)</t>
  </si>
  <si>
    <t>UK Coal CCS Electricity</t>
  </si>
  <si>
    <t>UK Zero Carbon Electricity (lifecycle)</t>
  </si>
  <si>
    <t>Zero Carbon Electricity (excl CCS)</t>
  </si>
  <si>
    <t>Efficiency Savings</t>
  </si>
  <si>
    <t>Electricity Imports (negative = exports)</t>
  </si>
  <si>
    <t>Adjusted1</t>
  </si>
  <si>
    <t>Adjusted2</t>
  </si>
  <si>
    <t>Exports of Electricity, offset</t>
  </si>
  <si>
    <t>Build 30 more nuclear power units</t>
  </si>
  <si>
    <t>Build a further 60 more nuclear power units</t>
  </si>
  <si>
    <t>(Old power stations wear out)</t>
  </si>
  <si>
    <t>UK FossTherm avg (incl energy ind)</t>
  </si>
  <si>
    <t>Government Target</t>
  </si>
  <si>
    <t>Sustainable Target</t>
  </si>
  <si>
    <t>Marker</t>
  </si>
  <si>
    <t>Potential</t>
  </si>
  <si>
    <t>Each GW of zero carbon electricity displaces fossil electricity equivalent to 5.6 Mt of CO2</t>
  </si>
  <si>
    <t>Each GW of zero carbon electricity displaces fossil fuels used directly equivalent to 2.32 Mt of CO2</t>
  </si>
  <si>
    <t>Up to 40GW</t>
  </si>
  <si>
    <t>Past 40GW</t>
  </si>
  <si>
    <t>Actual (GW)</t>
  </si>
  <si>
    <t>Sector GW</t>
  </si>
  <si>
    <t>Potential Reduction</t>
  </si>
  <si>
    <t>Actual Reduction</t>
  </si>
  <si>
    <t>Road Transport (Other) Fossil Fuel</t>
  </si>
  <si>
    <t>Cars</t>
  </si>
  <si>
    <t>HGV</t>
  </si>
  <si>
    <t>Per 10%</t>
  </si>
  <si>
    <t>Build 20 coal power stations and capture and store the CO2</t>
  </si>
  <si>
    <t>Approximation</t>
  </si>
  <si>
    <t>Exact</t>
  </si>
  <si>
    <t>UK FossTherm avg (incl energy ind adj)</t>
  </si>
  <si>
    <t>Markers</t>
  </si>
  <si>
    <t>Calculations of Factors</t>
  </si>
  <si>
    <t>Lookup Tables</t>
  </si>
  <si>
    <t>UK National Carbon Footprint (Tonnes of Carbon Dioxide Per Person Per Year)</t>
  </si>
  <si>
    <t>Potential Electricity Exports</t>
  </si>
  <si>
    <t>IAG (&lt;7p/kWh)</t>
  </si>
  <si>
    <t>CURRENT UK CARBON FOOTPRINT</t>
  </si>
  <si>
    <t>Build 10 new nuclear power units to replace old &amp; maintain hydropower</t>
  </si>
  <si>
    <t>Road Transport (Cars) Fossil Fuel</t>
  </si>
  <si>
    <t>Road Transport (HGV) Fossil Fuel</t>
  </si>
  <si>
    <t>Agriculture/Fish/Forests Electricity</t>
  </si>
  <si>
    <t>Agriculture/Fish/Forests Fossil Fuel</t>
  </si>
  <si>
    <t>Non-Electricity Energy Industry / Other</t>
  </si>
  <si>
    <t>Actual Saving</t>
  </si>
  <si>
    <t>PERSONAL ENERGY USE CHANGES</t>
  </si>
  <si>
    <t>Carbon Capture &amp; Storage</t>
  </si>
  <si>
    <t>Replacement Nuclear/Hydro</t>
  </si>
  <si>
    <t>Replace Old Boiler With A Rated Condensing Boiler</t>
  </si>
  <si>
    <t>Cost</t>
  </si>
  <si>
    <t>Saving</t>
  </si>
  <si>
    <t>1/3 of heat bill</t>
  </si>
  <si>
    <t>Fill Cavity Wall</t>
  </si>
  <si>
    <t>100-120</t>
  </si>
  <si>
    <t>Insulate Loft</t>
  </si>
  <si>
    <t>140-170</t>
  </si>
  <si>
    <t>Fridge A rating</t>
  </si>
  <si>
    <t>Hot Water Jacket</t>
  </si>
  <si>
    <t>Change 1 Lightbulb</t>
  </si>
  <si>
    <t>No households</t>
  </si>
  <si>
    <t>Per person CO2 tonnes</t>
  </si>
  <si>
    <t>Cavity Wall Insulation</t>
  </si>
  <si>
    <t>tCO2</t>
  </si>
  <si>
    <t>tC</t>
  </si>
  <si>
    <t>300-400</t>
  </si>
  <si>
    <t>£m</t>
  </si>
  <si>
    <t>£</t>
  </si>
  <si>
    <t>MtCO2</t>
  </si>
  <si>
    <t>No Units Per Household</t>
  </si>
  <si>
    <t>Change 1 Lightbulbs</t>
  </si>
  <si>
    <t>Saving Per Unit</t>
  </si>
  <si>
    <t>Condensing Boiler</t>
  </si>
  <si>
    <t>Better roof &amp; wall insulation compulsory</t>
  </si>
  <si>
    <t>Cut down waste and recycle</t>
  </si>
  <si>
    <t>Cut Energy Consumption by 30%</t>
  </si>
  <si>
    <t>25% reduction</t>
  </si>
  <si>
    <t>75% reduction</t>
  </si>
  <si>
    <t>Potential (tCO2) Total</t>
  </si>
  <si>
    <t>tCO2 offseting fossil</t>
  </si>
  <si>
    <t>tCO2 offseting electricity</t>
  </si>
  <si>
    <t>Theoretical Capacity</t>
  </si>
  <si>
    <t>Wave</t>
  </si>
  <si>
    <t>Offshore Wind</t>
  </si>
  <si>
    <t>Onshore Wind</t>
  </si>
  <si>
    <t>Cover North Wales in forests; harvest and burn for electricity</t>
  </si>
  <si>
    <t>Every household has (5mx5m) solar hot water panels</t>
  </si>
  <si>
    <t>Lose Old</t>
  </si>
  <si>
    <t>kwh/day</t>
  </si>
  <si>
    <t>CCS Capacity</t>
  </si>
  <si>
    <t>CCS Not Used</t>
  </si>
  <si>
    <t>Actual Exports</t>
  </si>
  <si>
    <t>Actual CCS Used</t>
  </si>
  <si>
    <t>Twh/year</t>
  </si>
  <si>
    <t>Every household has additional (5mx5m) solar photovoltaic panels</t>
  </si>
  <si>
    <t>Assumed Potential (GW)</t>
  </si>
  <si>
    <t>Intermittenty Efficiency Ratio</t>
  </si>
  <si>
    <t>Wind turbines around the entire coastline of the UK</t>
  </si>
  <si>
    <t>Commercial &amp; Public Sector</t>
  </si>
  <si>
    <t>Potential GWth</t>
  </si>
  <si>
    <t>Potential Gwe</t>
  </si>
  <si>
    <t>Cumalative Change</t>
  </si>
  <si>
    <t>Low-energy lightbulbs</t>
  </si>
  <si>
    <t>Solar hot water panels</t>
  </si>
  <si>
    <t>Thermostat down by 2 degrees</t>
  </si>
  <si>
    <t>Industry Energy down by 30%</t>
  </si>
  <si>
    <t>Commercial Energy down by 30%</t>
  </si>
  <si>
    <t>Option</t>
  </si>
  <si>
    <t>Cover open spaces and hills with wind turbines</t>
  </si>
  <si>
    <t>Geothermal</t>
  </si>
  <si>
    <t>Source: Sustainable Development Commission Report Nucelar and the Alternatives (2006)</t>
  </si>
  <si>
    <t>CCS &amp; Exports</t>
  </si>
  <si>
    <t>Source: EST</t>
  </si>
  <si>
    <t>Source: Defra</t>
  </si>
  <si>
    <t>Energy Efficiency Data</t>
  </si>
  <si>
    <t>http://www.parliament.uk/documents/upload/postpn280.pdf</t>
  </si>
  <si>
    <t>http://www.parliament.uk/documents/upload/postpn268.pdf</t>
  </si>
  <si>
    <t>Source:</t>
  </si>
  <si>
    <t>Also see:</t>
  </si>
  <si>
    <t>Lifecycle Carbon Footprint of Electricity Generation</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</si>
</sst>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TRUE&quot;;&quot;TRUE&quot;;&quot;FALSE&quot;"/>
    <numFmt numFmtId="165" formatCode="0.0"/>
    <numFmt numFmtId="166" formatCode="_-* #,##0.00_-;\-* #,##0.00_-;_-* \-??_-;_-@_-"/>
    <numFmt numFmtId="167" formatCode="_-* #,##0_-;\-* #,##0_-;_-* \-??_-;_-@_-"/>
    <numFmt numFmtId="168" formatCode="#,##0\ ;\-#,##0\ ;&quot;- &quot;"/>
    <numFmt numFmtId="169" formatCode="#,##0\ ;\-#,##0\ ;&quot;-  &quot;"/>
    <numFmt numFmtId="170" formatCode="_-* #,##0.0_-;\-* #,##0.0_-;_-* &quot;-&quot;??_-;_-@_-"/>
    <numFmt numFmtId="171" formatCode="_-* #,##0_-;\-* #,##0_-;_-* &quot;-&quot;??_-;_-@_-"/>
    <numFmt numFmtId="172" formatCode="0.000"/>
    <numFmt numFmtId="173" formatCode="_-* #,##0.000_-;\-* #,##0.000_-;_-* &quot;-&quot;??_-;_-@_-"/>
    <numFmt numFmtId="174" formatCode="#,##0\ ;\-#,##0\ ;&quot;- &quot;\ "/>
    <numFmt numFmtId="175" formatCode="\+#,##0\ ;\-#,##0\ ;&quot;-  &quot;"/>
    <numFmt numFmtId="176" formatCode="#,##0\ ;\-#,##0\ ;\ "/>
    <numFmt numFmtId="177" formatCode="#,##0.0\ ;\-#,##0.0\ ;&quot;- &quot;"/>
    <numFmt numFmtId="178" formatCode="&quot;Yes&quot;;&quot;Yes&quot;;&quot;No&quot;"/>
    <numFmt numFmtId="179" formatCode="&quot;True&quot;;&quot;True&quot;;&quot;False&quot;"/>
    <numFmt numFmtId="180" formatCode="&quot;On&quot;;&quot;On&quot;;&quot;Off&quot;"/>
    <numFmt numFmtId="181" formatCode="[$€-2]\ #,##0.00_);[Red]\([$€-2]\ #,##0.00\)"/>
    <numFmt numFmtId="182" formatCode="0\ %"/>
    <numFmt numFmtId="183" formatCode="0.0000%"/>
    <numFmt numFmtId="184" formatCode="0.000%"/>
    <numFmt numFmtId="185" formatCode="0.0%"/>
    <numFmt numFmtId="186" formatCode="#,##0.0"/>
    <numFmt numFmtId="187" formatCode="#,##0.000"/>
    <numFmt numFmtId="188" formatCode="#,##0.0000"/>
    <numFmt numFmtId="189" formatCode="#,##0.00000"/>
    <numFmt numFmtId="190" formatCode="#,##0.000000"/>
    <numFmt numFmtId="191" formatCode="0.0000"/>
    <numFmt numFmtId="192" formatCode="0.00000"/>
    <numFmt numFmtId="193" formatCode="0.000000"/>
    <numFmt numFmtId="194" formatCode="0.E+00"/>
    <numFmt numFmtId="195" formatCode="0.0.E+00"/>
    <numFmt numFmtId="196" formatCode="0.00.E+00"/>
    <numFmt numFmtId="197" formatCode="0.000.E+00"/>
    <numFmt numFmtId="198" formatCode="#,##0.0000000"/>
    <numFmt numFmtId="199" formatCode="_(&quot;$&quot;* #,##0.00_);_(&quot;$&quot;* \(#,##0.00\);_(&quot;$&quot;* &quot;-&quot;??_);_(@_)"/>
    <numFmt numFmtId="200" formatCode="_(&quot;$&quot;* #,##0_);_(&quot;$&quot;* \(#,##0\);_(&quot;$&quot;* &quot;-&quot;_);_(@_)"/>
    <numFmt numFmtId="201" formatCode="#,##0.000000000000000"/>
    <numFmt numFmtId="202" formatCode="0.000000000000000"/>
    <numFmt numFmtId="203" formatCode="0.00000000000000"/>
    <numFmt numFmtId="204" formatCode="0.0000000000000"/>
    <numFmt numFmtId="205" formatCode="0.000000000000"/>
    <numFmt numFmtId="206" formatCode="0.00000000000"/>
    <numFmt numFmtId="207" formatCode="0.0000000000"/>
    <numFmt numFmtId="208" formatCode="0.000000000"/>
    <numFmt numFmtId="209" formatCode="0.00000000"/>
    <numFmt numFmtId="210" formatCode="0.0000000"/>
    <numFmt numFmtId="211" formatCode="_-* #,##0.0_-;\-* #,##0.0_-;_-* &quot;-&quot;?_-;_-@_-"/>
    <numFmt numFmtId="212" formatCode="_-* #,##0.0000_-;\-* #,##0.0000_-;_-* &quot;-&quot;??_-;_-@_-"/>
    <numFmt numFmtId="213" formatCode="_-* #,##0.00000_-;\-* #,##0.00000_-;_-* &quot;-&quot;??_-;_-@_-"/>
    <numFmt numFmtId="214" formatCode="0.0000000000000%"/>
  </numFmts>
  <fonts count="72">
    <font>
      <sz val="10"/>
      <name val="Arial"/>
      <family val="0"/>
    </font>
    <font>
      <b/>
      <sz val="10"/>
      <color indexed="43"/>
      <name val="Arial"/>
      <family val="2"/>
    </font>
    <font>
      <b/>
      <sz val="8"/>
      <name val="Arial"/>
      <family val="2"/>
    </font>
    <font>
      <sz val="8"/>
      <name val="Arial"/>
      <family val="2"/>
    </font>
    <font>
      <i/>
      <sz val="8"/>
      <name val="Arial"/>
      <family val="2"/>
    </font>
    <font>
      <sz val="10"/>
      <color indexed="43"/>
      <name val="Arial"/>
      <family val="2"/>
    </font>
    <font>
      <sz val="8"/>
      <color indexed="9"/>
      <name val="Arial"/>
      <family val="2"/>
    </font>
    <font>
      <sz val="10"/>
      <color indexed="9"/>
      <name val="Arial"/>
      <family val="2"/>
    </font>
    <font>
      <b/>
      <sz val="14"/>
      <color indexed="10"/>
      <name val="Arial"/>
      <family val="2"/>
    </font>
    <font>
      <sz val="8"/>
      <name val="Tahoma"/>
      <family val="2"/>
    </font>
    <font>
      <sz val="7"/>
      <name val="Arial"/>
      <family val="2"/>
    </font>
    <font>
      <sz val="8.5"/>
      <name val="Arial"/>
      <family val="2"/>
    </font>
    <font>
      <b/>
      <sz val="10"/>
      <name val="Arial"/>
      <family val="2"/>
    </font>
    <font>
      <b/>
      <sz val="8.5"/>
      <name val="Arial"/>
      <family val="2"/>
    </font>
    <font>
      <sz val="7.5"/>
      <name val="Arial"/>
      <family val="2"/>
    </font>
    <font>
      <sz val="8"/>
      <color indexed="8"/>
      <name val="Tahoma"/>
      <family val="0"/>
    </font>
    <font>
      <sz val="10"/>
      <color indexed="17"/>
      <name val="Arial"/>
      <family val="0"/>
    </font>
    <font>
      <u val="single"/>
      <sz val="10"/>
      <color indexed="36"/>
      <name val="Arial"/>
      <family val="0"/>
    </font>
    <font>
      <u val="single"/>
      <sz val="10"/>
      <color indexed="12"/>
      <name val="Arial"/>
      <family val="0"/>
    </font>
    <font>
      <i/>
      <sz val="10"/>
      <name val="Arial"/>
      <family val="2"/>
    </font>
    <font>
      <b/>
      <sz val="9"/>
      <name val="Arial"/>
      <family val="2"/>
    </font>
    <font>
      <sz val="9"/>
      <name val="Arial"/>
      <family val="2"/>
    </font>
    <font>
      <vertAlign val="superscript"/>
      <sz val="9"/>
      <name val="Arial"/>
      <family val="2"/>
    </font>
    <font>
      <i/>
      <sz val="9"/>
      <name val="Arial"/>
      <family val="2"/>
    </font>
    <font>
      <u val="single"/>
      <sz val="9"/>
      <color indexed="12"/>
      <name val="Arial"/>
      <family val="2"/>
    </font>
    <font>
      <sz val="9"/>
      <color indexed="12"/>
      <name val="Arial"/>
      <family val="2"/>
    </font>
    <font>
      <b/>
      <sz val="18"/>
      <color indexed="12"/>
      <name val="Arial"/>
      <family val="2"/>
    </font>
    <font>
      <sz val="18"/>
      <color indexed="12"/>
      <name val="Arial"/>
      <family val="2"/>
    </font>
    <font>
      <sz val="20"/>
      <color indexed="12"/>
      <name val="Arial"/>
      <family val="2"/>
    </font>
    <font>
      <sz val="20"/>
      <name val="Arial"/>
      <family val="2"/>
    </font>
    <font>
      <i/>
      <sz val="8.5"/>
      <name val="Arial"/>
      <family val="2"/>
    </font>
    <font>
      <sz val="7.5"/>
      <color indexed="10"/>
      <name val="Arial"/>
      <family val="2"/>
    </font>
    <font>
      <sz val="22"/>
      <color indexed="12"/>
      <name val="Arial"/>
      <family val="2"/>
    </font>
    <font>
      <i/>
      <sz val="7.5"/>
      <name val="Arial"/>
      <family val="2"/>
    </font>
    <font>
      <b/>
      <i/>
      <sz val="8.5"/>
      <name val="Arial"/>
      <family val="2"/>
    </font>
    <font>
      <sz val="8"/>
      <color indexed="8"/>
      <name val="Arial"/>
      <family val="2"/>
    </font>
    <font>
      <sz val="8"/>
      <color indexed="12"/>
      <name val="Arial"/>
      <family val="2"/>
    </font>
    <font>
      <i/>
      <sz val="8.5"/>
      <color indexed="8"/>
      <name val="Arial"/>
      <family val="2"/>
    </font>
    <font>
      <b/>
      <sz val="10"/>
      <name val="Tahoma"/>
      <family val="0"/>
    </font>
    <font>
      <b/>
      <sz val="20"/>
      <color indexed="12"/>
      <name val="Arial"/>
      <family val="2"/>
    </font>
    <font>
      <b/>
      <i/>
      <sz val="8"/>
      <name val="Arial"/>
      <family val="2"/>
    </font>
    <font>
      <b/>
      <sz val="14"/>
      <color indexed="51"/>
      <name val="Arial"/>
      <family val="2"/>
    </font>
    <font>
      <sz val="10"/>
      <color indexed="51"/>
      <name val="Arial"/>
      <family val="2"/>
    </font>
    <font>
      <b/>
      <sz val="18"/>
      <color indexed="17"/>
      <name val="Arial"/>
      <family val="2"/>
    </font>
    <font>
      <i/>
      <vertAlign val="subscript"/>
      <sz val="8"/>
      <name val="Arial"/>
      <family val="2"/>
    </font>
    <font>
      <b/>
      <sz val="8"/>
      <color indexed="62"/>
      <name val="Arial"/>
      <family val="2"/>
    </font>
    <font>
      <b/>
      <sz val="7"/>
      <name val="Arial"/>
      <family val="0"/>
    </font>
    <font>
      <i/>
      <sz val="7"/>
      <name val="Arial"/>
      <family val="0"/>
    </font>
    <font>
      <b/>
      <sz val="8"/>
      <name val="Tahoma"/>
      <family val="0"/>
    </font>
    <font>
      <i/>
      <u val="single"/>
      <sz val="8"/>
      <name val="Arial"/>
      <family val="2"/>
    </font>
    <font>
      <sz val="12"/>
      <name val="Arial"/>
      <family val="2"/>
    </font>
    <font>
      <b/>
      <sz val="12"/>
      <name val="Arial"/>
      <family val="2"/>
    </font>
    <font>
      <sz val="10"/>
      <color indexed="10"/>
      <name val="Arial"/>
      <family val="2"/>
    </font>
    <font>
      <i/>
      <sz val="8"/>
      <color indexed="9"/>
      <name val="Arial"/>
      <family val="2"/>
    </font>
    <font>
      <sz val="14"/>
      <name val="Arial"/>
      <family val="2"/>
    </font>
    <font>
      <b/>
      <sz val="14"/>
      <name val="Arial"/>
      <family val="2"/>
    </font>
    <font>
      <sz val="9"/>
      <name val="Times New Roman"/>
      <family val="1"/>
    </font>
    <font>
      <b/>
      <vertAlign val="superscript"/>
      <sz val="14"/>
      <name val="Arial"/>
      <family val="2"/>
    </font>
    <font>
      <b/>
      <sz val="12"/>
      <color indexed="10"/>
      <name val="Arial"/>
      <family val="2"/>
    </font>
    <font>
      <sz val="12"/>
      <color indexed="10"/>
      <name val="Arial"/>
      <family val="2"/>
    </font>
    <font>
      <i/>
      <sz val="12"/>
      <name val="Arial"/>
      <family val="2"/>
    </font>
    <font>
      <sz val="12"/>
      <color indexed="8"/>
      <name val="Arial"/>
      <family val="2"/>
    </font>
    <font>
      <vertAlign val="subscript"/>
      <sz val="12"/>
      <color indexed="8"/>
      <name val="Arial"/>
      <family val="2"/>
    </font>
    <font>
      <b/>
      <sz val="8"/>
      <color indexed="9"/>
      <name val="Arial"/>
      <family val="2"/>
    </font>
    <font>
      <b/>
      <sz val="12"/>
      <color indexed="48"/>
      <name val="Arial"/>
      <family val="2"/>
    </font>
    <font>
      <i/>
      <sz val="8"/>
      <color indexed="48"/>
      <name val="Arial"/>
      <family val="2"/>
    </font>
    <font>
      <sz val="10"/>
      <color indexed="48"/>
      <name val="Arial"/>
      <family val="2"/>
    </font>
    <font>
      <b/>
      <sz val="18"/>
      <color indexed="9"/>
      <name val="Arial"/>
      <family val="2"/>
    </font>
    <font>
      <b/>
      <i/>
      <sz val="8"/>
      <color indexed="9"/>
      <name val="Arial"/>
      <family val="2"/>
    </font>
    <font>
      <b/>
      <sz val="18"/>
      <name val="Arial"/>
      <family val="2"/>
    </font>
    <font>
      <b/>
      <sz val="12"/>
      <color indexed="9"/>
      <name val="Arial"/>
      <family val="2"/>
    </font>
    <font>
      <i/>
      <sz val="8"/>
      <color indexed="10"/>
      <name val="Arial"/>
      <family val="2"/>
    </font>
  </fonts>
  <fills count="7">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38">
    <border>
      <left/>
      <right/>
      <top/>
      <bottom/>
      <diagonal/>
    </border>
    <border>
      <left>
        <color indexed="63"/>
      </left>
      <right>
        <color indexed="63"/>
      </right>
      <top style="thin"/>
      <bottom style="thin"/>
    </border>
    <border>
      <left style="thin"/>
      <right style="thin"/>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ouble">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color indexed="8"/>
      </top>
      <bottom style="thin">
        <color indexed="8"/>
      </bottom>
    </border>
    <border>
      <left>
        <color indexed="63"/>
      </left>
      <right style="thin"/>
      <top style="thin">
        <color indexed="8"/>
      </top>
      <bottom style="thin">
        <color indexed="8"/>
      </bottom>
    </border>
    <border>
      <left>
        <color indexed="63"/>
      </left>
      <right style="thin"/>
      <top>
        <color indexed="63"/>
      </top>
      <bottom style="thin">
        <color indexed="8"/>
      </bottom>
    </border>
    <border>
      <left>
        <color indexed="63"/>
      </left>
      <right style="thin"/>
      <top style="thin">
        <color indexed="8"/>
      </top>
      <bottom style="double">
        <color indexed="8"/>
      </bottom>
    </border>
    <border>
      <left style="thin"/>
      <right>
        <color indexed="63"/>
      </right>
      <top style="double">
        <color indexed="8"/>
      </top>
      <bottom style="thin">
        <color indexed="8"/>
      </bottom>
    </border>
    <border>
      <left style="thin"/>
      <right>
        <color indexed="63"/>
      </right>
      <top style="thin">
        <color indexed="8"/>
      </top>
      <bottom style="thin">
        <color indexed="8"/>
      </bottom>
    </border>
    <border>
      <left style="thin"/>
      <right>
        <color indexed="63"/>
      </right>
      <top>
        <color indexed="63"/>
      </top>
      <bottom style="thin">
        <color indexed="8"/>
      </bottom>
    </border>
    <border>
      <left style="thin"/>
      <right>
        <color indexed="63"/>
      </right>
      <top style="thin">
        <color indexed="8"/>
      </top>
      <bottom style="double">
        <color indexed="8"/>
      </bottom>
    </border>
    <border>
      <left>
        <color indexed="63"/>
      </left>
      <right>
        <color indexed="63"/>
      </right>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double"/>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6" fillId="2" borderId="0" applyFill="0" applyBorder="0">
      <alignment horizontal="left"/>
      <protection/>
    </xf>
    <xf numFmtId="0" fontId="3" fillId="0" borderId="1" applyNumberFormat="0" applyFont="0" applyAlignment="0">
      <protection/>
    </xf>
    <xf numFmtId="0" fontId="10" fillId="0" borderId="0" applyFill="0" applyBorder="0">
      <alignment vertical="center"/>
      <protection/>
    </xf>
    <xf numFmtId="0" fontId="3" fillId="0" borderId="0" applyFill="0" applyBorder="0">
      <alignment vertical="center"/>
      <protection/>
    </xf>
    <xf numFmtId="43" fontId="0" fillId="0" borderId="0" applyFont="0" applyFill="0" applyBorder="0" applyAlignment="0" applyProtection="0"/>
    <xf numFmtId="41" fontId="0" fillId="0" borderId="0" applyFont="0" applyFill="0" applyBorder="0" applyAlignment="0" applyProtection="0"/>
    <xf numFmtId="166" fontId="0" fillId="0" borderId="0" applyFill="0" applyBorder="0" applyAlignment="0" applyProtection="0"/>
    <xf numFmtId="166"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 fontId="56" fillId="0" borderId="2">
      <alignment horizontal="right" vertical="center"/>
      <protection/>
    </xf>
    <xf numFmtId="0" fontId="50" fillId="0" borderId="0">
      <alignment/>
      <protection/>
    </xf>
    <xf numFmtId="0" fontId="50" fillId="0" borderId="0">
      <alignment/>
      <protection/>
    </xf>
    <xf numFmtId="9" fontId="0" fillId="0" borderId="0" applyFont="0" applyFill="0" applyBorder="0" applyAlignment="0" applyProtection="0"/>
    <xf numFmtId="9" fontId="0" fillId="0" borderId="0" applyFill="0" applyBorder="0" applyAlignment="0" applyProtection="0"/>
    <xf numFmtId="0" fontId="56" fillId="3" borderId="3">
      <alignment/>
      <protection/>
    </xf>
    <xf numFmtId="4" fontId="56" fillId="0" borderId="0">
      <alignment/>
      <protection/>
    </xf>
    <xf numFmtId="4" fontId="56" fillId="0" borderId="0">
      <alignment/>
      <protection/>
    </xf>
  </cellStyleXfs>
  <cellXfs count="730">
    <xf numFmtId="0" fontId="0" fillId="0" borderId="0" xfId="0" applyAlignment="1">
      <alignment/>
    </xf>
    <xf numFmtId="0" fontId="4" fillId="0" borderId="0" xfId="0" applyFont="1" applyAlignment="1">
      <alignment/>
    </xf>
    <xf numFmtId="0" fontId="3" fillId="0" borderId="0" xfId="0" applyFont="1" applyAlignment="1">
      <alignment/>
    </xf>
    <xf numFmtId="165" fontId="3" fillId="4" borderId="0" xfId="0" applyNumberFormat="1" applyFont="1" applyFill="1" applyAlignment="1">
      <alignment/>
    </xf>
    <xf numFmtId="165" fontId="3" fillId="0" borderId="0" xfId="0" applyNumberFormat="1" applyFont="1" applyFill="1" applyAlignment="1">
      <alignment horizontal="left"/>
    </xf>
    <xf numFmtId="165" fontId="3" fillId="0" borderId="0" xfId="0" applyNumberFormat="1" applyFont="1" applyFill="1" applyAlignment="1">
      <alignment horizontal="right"/>
    </xf>
    <xf numFmtId="165" fontId="3" fillId="0" borderId="0" xfId="0" applyNumberFormat="1" applyFont="1" applyFill="1" applyAlignment="1">
      <alignment/>
    </xf>
    <xf numFmtId="165" fontId="3" fillId="0" borderId="0" xfId="0" applyNumberFormat="1" applyFont="1" applyFill="1" applyAlignment="1">
      <alignment/>
    </xf>
    <xf numFmtId="165" fontId="2" fillId="0" borderId="0" xfId="0" applyNumberFormat="1" applyFont="1" applyFill="1" applyAlignment="1">
      <alignment horizontal="right"/>
    </xf>
    <xf numFmtId="165" fontId="3" fillId="0" borderId="0" xfId="0" applyNumberFormat="1" applyFont="1" applyFill="1" applyBorder="1" applyAlignment="1">
      <alignment horizontal="left"/>
    </xf>
    <xf numFmtId="165" fontId="3" fillId="0" borderId="0" xfId="0" applyNumberFormat="1" applyFont="1" applyFill="1" applyBorder="1" applyAlignment="1">
      <alignment/>
    </xf>
    <xf numFmtId="165" fontId="3" fillId="0" borderId="0" xfId="0" applyNumberFormat="1" applyFont="1" applyAlignment="1">
      <alignment horizontal="left"/>
    </xf>
    <xf numFmtId="165" fontId="3" fillId="0" borderId="0" xfId="0" applyNumberFormat="1" applyFont="1" applyAlignment="1">
      <alignment/>
    </xf>
    <xf numFmtId="165" fontId="3" fillId="0" borderId="0" xfId="0" applyNumberFormat="1" applyFont="1" applyAlignment="1">
      <alignment/>
    </xf>
    <xf numFmtId="0" fontId="20" fillId="0" borderId="0" xfId="0" applyFont="1" applyAlignment="1">
      <alignment/>
    </xf>
    <xf numFmtId="0" fontId="21" fillId="0" borderId="0" xfId="0" applyFont="1" applyAlignment="1">
      <alignment/>
    </xf>
    <xf numFmtId="0" fontId="21" fillId="0" borderId="4" xfId="0" applyFont="1" applyBorder="1" applyAlignment="1">
      <alignment/>
    </xf>
    <xf numFmtId="0" fontId="21" fillId="0" borderId="5" xfId="0" applyFont="1" applyBorder="1" applyAlignment="1">
      <alignment/>
    </xf>
    <xf numFmtId="0" fontId="21" fillId="0" borderId="6" xfId="0" applyFont="1" applyBorder="1" applyAlignment="1">
      <alignment/>
    </xf>
    <xf numFmtId="0" fontId="21" fillId="0" borderId="6" xfId="0" applyFont="1" applyBorder="1" applyAlignment="1">
      <alignment wrapText="1"/>
    </xf>
    <xf numFmtId="0" fontId="21" fillId="0" borderId="7" xfId="0" applyFont="1" applyBorder="1" applyAlignment="1">
      <alignment/>
    </xf>
    <xf numFmtId="0" fontId="21" fillId="0" borderId="8" xfId="0" applyFont="1" applyBorder="1" applyAlignment="1">
      <alignment/>
    </xf>
    <xf numFmtId="0" fontId="21" fillId="0" borderId="9" xfId="0" applyFont="1" applyBorder="1" applyAlignment="1">
      <alignment/>
    </xf>
    <xf numFmtId="0" fontId="21" fillId="0" borderId="10" xfId="0" applyFont="1" applyBorder="1" applyAlignment="1">
      <alignment/>
    </xf>
    <xf numFmtId="0" fontId="21" fillId="0" borderId="0" xfId="0" applyFont="1" applyBorder="1" applyAlignment="1">
      <alignment/>
    </xf>
    <xf numFmtId="0" fontId="21" fillId="0" borderId="10" xfId="0" applyFont="1" applyFill="1" applyBorder="1" applyAlignment="1">
      <alignment/>
    </xf>
    <xf numFmtId="0" fontId="21" fillId="0" borderId="9" xfId="0" applyFont="1" applyFill="1" applyBorder="1" applyAlignment="1">
      <alignment/>
    </xf>
    <xf numFmtId="11" fontId="21" fillId="0" borderId="8" xfId="0" applyNumberFormat="1" applyFont="1" applyBorder="1" applyAlignment="1">
      <alignment/>
    </xf>
    <xf numFmtId="0" fontId="21" fillId="0" borderId="9" xfId="0" applyFont="1" applyFill="1" applyBorder="1" applyAlignment="1" quotePrefix="1">
      <alignment/>
    </xf>
    <xf numFmtId="0" fontId="21" fillId="0" borderId="11"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4" xfId="0" applyFont="1" applyBorder="1" applyAlignment="1">
      <alignment wrapText="1"/>
    </xf>
    <xf numFmtId="0" fontId="21" fillId="0" borderId="7" xfId="0" applyFont="1" applyBorder="1" applyAlignment="1" quotePrefix="1">
      <alignment wrapText="1"/>
    </xf>
    <xf numFmtId="0" fontId="21" fillId="0" borderId="5" xfId="0" applyFont="1" applyBorder="1" applyAlignment="1" quotePrefix="1">
      <alignment wrapText="1"/>
    </xf>
    <xf numFmtId="0" fontId="21" fillId="0" borderId="0" xfId="0" applyFont="1" applyBorder="1" applyAlignment="1" quotePrefix="1">
      <alignment/>
    </xf>
    <xf numFmtId="0" fontId="21" fillId="0" borderId="7" xfId="0" applyFont="1" applyBorder="1" applyAlignment="1" quotePrefix="1">
      <alignment/>
    </xf>
    <xf numFmtId="0" fontId="21" fillId="0" borderId="5" xfId="0" applyFont="1" applyFill="1" applyBorder="1" applyAlignment="1" quotePrefix="1">
      <alignment/>
    </xf>
    <xf numFmtId="0" fontId="21" fillId="0" borderId="14" xfId="0" applyFont="1" applyBorder="1" applyAlignment="1" quotePrefix="1">
      <alignment/>
    </xf>
    <xf numFmtId="0" fontId="21" fillId="0" borderId="0" xfId="0" applyFont="1" applyBorder="1" applyAlignment="1">
      <alignment wrapText="1"/>
    </xf>
    <xf numFmtId="0" fontId="21" fillId="0" borderId="0" xfId="0" applyFont="1" applyFill="1" applyBorder="1" applyAlignment="1">
      <alignment/>
    </xf>
    <xf numFmtId="0" fontId="21" fillId="0" borderId="15" xfId="0" applyFont="1" applyBorder="1" applyAlignment="1">
      <alignment/>
    </xf>
    <xf numFmtId="0" fontId="21" fillId="0" borderId="1" xfId="0" applyFont="1" applyBorder="1" applyAlignment="1" quotePrefix="1">
      <alignment/>
    </xf>
    <xf numFmtId="0" fontId="21" fillId="0" borderId="1" xfId="0" applyFont="1" applyBorder="1" applyAlignment="1">
      <alignment/>
    </xf>
    <xf numFmtId="0" fontId="23" fillId="0" borderId="0" xfId="0" applyFont="1" applyAlignment="1">
      <alignment/>
    </xf>
    <xf numFmtId="0" fontId="21" fillId="0" borderId="0" xfId="0" applyFont="1" applyBorder="1" applyAlignment="1">
      <alignment horizontal="center"/>
    </xf>
    <xf numFmtId="0" fontId="21" fillId="0" borderId="5" xfId="0" applyFont="1" applyBorder="1" applyAlignment="1">
      <alignment horizontal="center"/>
    </xf>
    <xf numFmtId="0" fontId="21" fillId="0" borderId="0" xfId="0" applyFont="1" applyBorder="1" applyAlignment="1" quotePrefix="1">
      <alignment horizontal="center" wrapText="1"/>
    </xf>
    <xf numFmtId="0" fontId="21" fillId="0" borderId="9" xfId="0" applyFont="1" applyBorder="1" applyAlignment="1" quotePrefix="1">
      <alignment horizontal="center" wrapText="1"/>
    </xf>
    <xf numFmtId="0" fontId="21" fillId="0" borderId="5" xfId="0" applyFont="1" applyBorder="1" applyAlignment="1">
      <alignment wrapText="1"/>
    </xf>
    <xf numFmtId="0" fontId="21" fillId="0" borderId="4" xfId="0" applyFont="1" applyFill="1" applyBorder="1" applyAlignment="1">
      <alignment/>
    </xf>
    <xf numFmtId="0" fontId="21" fillId="0" borderId="7" xfId="0" applyFont="1" applyFill="1" applyBorder="1" applyAlignment="1">
      <alignment/>
    </xf>
    <xf numFmtId="170" fontId="21" fillId="0" borderId="5" xfId="19" applyNumberFormat="1" applyFont="1" applyFill="1" applyBorder="1" applyAlignment="1">
      <alignment/>
    </xf>
    <xf numFmtId="0" fontId="20" fillId="0" borderId="8" xfId="0" applyFont="1" applyFill="1" applyBorder="1" applyAlignment="1">
      <alignment horizontal="center" vertical="center"/>
    </xf>
    <xf numFmtId="170" fontId="21" fillId="0" borderId="9" xfId="19" applyNumberFormat="1" applyFont="1" applyFill="1" applyBorder="1" applyAlignment="1">
      <alignment/>
    </xf>
    <xf numFmtId="0" fontId="20" fillId="0" borderId="11" xfId="0" applyFont="1" applyFill="1" applyBorder="1" applyAlignment="1">
      <alignment horizontal="center" vertical="center"/>
    </xf>
    <xf numFmtId="0" fontId="21" fillId="0" borderId="14" xfId="0" applyFont="1" applyFill="1" applyBorder="1" applyAlignment="1">
      <alignment/>
    </xf>
    <xf numFmtId="170" fontId="21" fillId="0" borderId="12" xfId="19" applyNumberFormat="1" applyFont="1" applyFill="1" applyBorder="1" applyAlignment="1">
      <alignment/>
    </xf>
    <xf numFmtId="0" fontId="20" fillId="0" borderId="15" xfId="0" applyFont="1" applyFill="1" applyBorder="1" applyAlignment="1">
      <alignment horizontal="center"/>
    </xf>
    <xf numFmtId="0" fontId="21" fillId="0" borderId="1" xfId="0" applyFont="1" applyFill="1" applyBorder="1" applyAlignment="1">
      <alignment/>
    </xf>
    <xf numFmtId="170" fontId="21" fillId="0" borderId="16" xfId="19" applyNumberFormat="1" applyFont="1" applyFill="1" applyBorder="1" applyAlignment="1">
      <alignment/>
    </xf>
    <xf numFmtId="0" fontId="21" fillId="0" borderId="1" xfId="0" applyFont="1" applyFill="1" applyBorder="1" applyAlignment="1">
      <alignment horizontal="left"/>
    </xf>
    <xf numFmtId="1" fontId="21" fillId="0" borderId="1" xfId="0" applyNumberFormat="1" applyFont="1" applyFill="1" applyBorder="1" applyAlignment="1">
      <alignment/>
    </xf>
    <xf numFmtId="165" fontId="21" fillId="0" borderId="16" xfId="0" applyNumberFormat="1" applyFont="1" applyFill="1" applyBorder="1" applyAlignment="1">
      <alignment/>
    </xf>
    <xf numFmtId="0" fontId="23" fillId="0" borderId="0" xfId="0" applyFont="1" applyBorder="1" applyAlignment="1" quotePrefix="1">
      <alignment/>
    </xf>
    <xf numFmtId="0" fontId="23" fillId="0" borderId="0" xfId="0" applyFont="1" applyBorder="1" applyAlignment="1">
      <alignment/>
    </xf>
    <xf numFmtId="173" fontId="23" fillId="0" borderId="15" xfId="19" applyNumberFormat="1" applyFont="1" applyBorder="1" applyAlignment="1">
      <alignment horizontal="left"/>
    </xf>
    <xf numFmtId="173" fontId="23" fillId="0" borderId="16" xfId="19" applyNumberFormat="1" applyFont="1" applyBorder="1" applyAlignment="1">
      <alignment horizontal="left"/>
    </xf>
    <xf numFmtId="0" fontId="24" fillId="0" borderId="0" xfId="26" applyFont="1" applyAlignment="1">
      <alignment/>
    </xf>
    <xf numFmtId="0" fontId="25" fillId="0" borderId="0" xfId="0" applyFont="1" applyBorder="1" applyAlignment="1">
      <alignment wrapText="1"/>
    </xf>
    <xf numFmtId="0" fontId="25" fillId="0" borderId="0" xfId="0" applyFont="1" applyBorder="1" applyAlignment="1">
      <alignment/>
    </xf>
    <xf numFmtId="0" fontId="25" fillId="0" borderId="0" xfId="0" applyFont="1" applyAlignment="1">
      <alignment/>
    </xf>
    <xf numFmtId="171" fontId="21" fillId="0" borderId="0" xfId="19" applyNumberFormat="1" applyFont="1" applyBorder="1" applyAlignment="1">
      <alignment wrapText="1"/>
    </xf>
    <xf numFmtId="0" fontId="21" fillId="0" borderId="0" xfId="18" applyFont="1">
      <alignment vertical="center"/>
      <protection/>
    </xf>
    <xf numFmtId="0" fontId="21" fillId="0" borderId="0" xfId="18" applyFont="1" applyAlignment="1">
      <alignment horizontal="right" vertical="center"/>
      <protection/>
    </xf>
    <xf numFmtId="49" fontId="21" fillId="0" borderId="0" xfId="15" applyFont="1" applyBorder="1">
      <alignment horizontal="left"/>
      <protection/>
    </xf>
    <xf numFmtId="0" fontId="21" fillId="0" borderId="0" xfId="18" applyFont="1" applyBorder="1">
      <alignment vertical="center"/>
      <protection/>
    </xf>
    <xf numFmtId="0" fontId="21" fillId="0" borderId="0" xfId="18" applyFont="1" applyBorder="1" applyAlignment="1">
      <alignment horizontal="right" vertical="center"/>
      <protection/>
    </xf>
    <xf numFmtId="165" fontId="21" fillId="0" borderId="0" xfId="18" applyNumberFormat="1" applyFont="1" applyAlignment="1">
      <alignment horizontal="right" vertical="center"/>
      <protection/>
    </xf>
    <xf numFmtId="0" fontId="21" fillId="0" borderId="0" xfId="18" applyFont="1" applyFill="1">
      <alignment vertical="center"/>
      <protection/>
    </xf>
    <xf numFmtId="0" fontId="21" fillId="0" borderId="0" xfId="16" applyFont="1" applyBorder="1" applyAlignment="1">
      <alignment vertical="center"/>
      <protection/>
    </xf>
    <xf numFmtId="172" fontId="21" fillId="0" borderId="0" xfId="18" applyNumberFormat="1" applyFont="1" applyBorder="1" applyAlignment="1">
      <alignment horizontal="right" vertical="center"/>
      <protection/>
    </xf>
    <xf numFmtId="0" fontId="20" fillId="0" borderId="0" xfId="18" applyFont="1" applyBorder="1" applyAlignment="1">
      <alignment horizontal="right" vertical="center"/>
      <protection/>
    </xf>
    <xf numFmtId="0" fontId="20" fillId="0" borderId="0" xfId="18" applyFont="1" applyBorder="1" applyAlignment="1">
      <alignment horizontal="centerContinuous" vertical="center"/>
      <protection/>
    </xf>
    <xf numFmtId="0" fontId="21" fillId="0" borderId="0" xfId="0" applyFont="1" applyBorder="1" applyAlignment="1">
      <alignment horizontal="centerContinuous" vertical="center"/>
    </xf>
    <xf numFmtId="0" fontId="21" fillId="0" borderId="0" xfId="0" applyFont="1" applyAlignment="1">
      <alignment horizontal="centerContinuous" vertical="center"/>
    </xf>
    <xf numFmtId="0" fontId="20" fillId="0" borderId="0" xfId="18" applyFont="1" applyBorder="1">
      <alignment vertical="center"/>
      <protection/>
    </xf>
    <xf numFmtId="0" fontId="21" fillId="0" borderId="0" xfId="18" applyFont="1" applyFill="1" applyBorder="1" applyAlignment="1">
      <alignment horizontal="right" vertical="center"/>
      <protection/>
    </xf>
    <xf numFmtId="0" fontId="21" fillId="0" borderId="0" xfId="17" applyFont="1" applyBorder="1">
      <alignment vertical="center"/>
      <protection/>
    </xf>
    <xf numFmtId="49" fontId="20" fillId="0" borderId="0" xfId="15" applyFont="1" applyBorder="1">
      <alignment horizontal="left"/>
      <protection/>
    </xf>
    <xf numFmtId="2" fontId="21" fillId="0" borderId="0" xfId="18" applyNumberFormat="1" applyFont="1" applyBorder="1" applyAlignment="1">
      <alignment horizontal="right" vertical="center"/>
      <protection/>
    </xf>
    <xf numFmtId="49" fontId="20" fillId="0" borderId="0" xfId="15" applyFont="1" applyFill="1" applyBorder="1">
      <alignment horizontal="left"/>
      <protection/>
    </xf>
    <xf numFmtId="0" fontId="21" fillId="0" borderId="0" xfId="18" applyFont="1" applyFill="1" applyBorder="1">
      <alignment vertical="center"/>
      <protection/>
    </xf>
    <xf numFmtId="0" fontId="21" fillId="0" borderId="0" xfId="17" applyFont="1" applyFill="1" applyBorder="1">
      <alignment vertical="center"/>
      <protection/>
    </xf>
    <xf numFmtId="0" fontId="26" fillId="4" borderId="0" xfId="0" applyFont="1" applyFill="1" applyAlignment="1">
      <alignment horizontal="left"/>
    </xf>
    <xf numFmtId="0" fontId="26" fillId="4" borderId="0" xfId="0" applyFont="1" applyFill="1" applyAlignment="1">
      <alignment/>
    </xf>
    <xf numFmtId="0" fontId="27" fillId="4" borderId="0" xfId="0" applyFont="1" applyFill="1" applyAlignment="1">
      <alignment/>
    </xf>
    <xf numFmtId="0" fontId="28" fillId="4" borderId="0" xfId="0" applyFont="1" applyFill="1" applyAlignment="1">
      <alignment/>
    </xf>
    <xf numFmtId="0" fontId="29" fillId="4" borderId="0" xfId="0" applyFont="1" applyFill="1" applyAlignment="1">
      <alignment/>
    </xf>
    <xf numFmtId="0" fontId="3" fillId="4" borderId="0" xfId="0" applyFont="1" applyFill="1" applyAlignment="1">
      <alignment/>
    </xf>
    <xf numFmtId="0" fontId="2" fillId="4" borderId="0" xfId="0" applyFont="1" applyFill="1" applyAlignment="1">
      <alignment/>
    </xf>
    <xf numFmtId="0" fontId="20" fillId="4" borderId="0" xfId="0" applyFont="1" applyFill="1" applyAlignment="1">
      <alignment/>
    </xf>
    <xf numFmtId="0" fontId="21" fillId="4" borderId="0" xfId="0" applyFont="1" applyFill="1" applyAlignment="1">
      <alignment/>
    </xf>
    <xf numFmtId="0" fontId="20" fillId="4" borderId="0" xfId="0" applyFont="1" applyFill="1" applyAlignment="1">
      <alignment horizontal="right"/>
    </xf>
    <xf numFmtId="0" fontId="0" fillId="4" borderId="0" xfId="0" applyFont="1" applyFill="1" applyAlignment="1">
      <alignment/>
    </xf>
    <xf numFmtId="0" fontId="3" fillId="4" borderId="17" xfId="0" applyFont="1" applyFill="1" applyBorder="1" applyAlignment="1">
      <alignment horizontal="right" vertical="top" wrapText="1"/>
    </xf>
    <xf numFmtId="176" fontId="13" fillId="4" borderId="17" xfId="0" applyNumberFormat="1" applyFont="1" applyFill="1" applyBorder="1" applyAlignment="1">
      <alignment horizontal="right" vertical="top" wrapText="1"/>
    </xf>
    <xf numFmtId="0" fontId="13" fillId="4" borderId="17" xfId="0" applyFont="1" applyFill="1" applyBorder="1" applyAlignment="1">
      <alignment horizontal="right" vertical="top" wrapText="1"/>
    </xf>
    <xf numFmtId="0" fontId="10" fillId="4" borderId="0" xfId="0" applyFont="1" applyFill="1" applyAlignment="1">
      <alignment horizontal="right" vertical="top" wrapText="1"/>
    </xf>
    <xf numFmtId="0" fontId="14" fillId="4" borderId="0" xfId="0" applyFont="1" applyFill="1" applyAlignment="1">
      <alignment/>
    </xf>
    <xf numFmtId="169" fontId="3" fillId="4" borderId="0" xfId="0" applyNumberFormat="1" applyFont="1" applyFill="1" applyBorder="1" applyAlignment="1">
      <alignment/>
    </xf>
    <xf numFmtId="169" fontId="3" fillId="4" borderId="0" xfId="22" applyNumberFormat="1" applyFont="1" applyFill="1" applyBorder="1" applyAlignment="1" applyProtection="1">
      <alignment/>
      <protection/>
    </xf>
    <xf numFmtId="169" fontId="3" fillId="4" borderId="0" xfId="0" applyNumberFormat="1" applyFont="1" applyFill="1" applyBorder="1" applyAlignment="1">
      <alignment horizontal="right"/>
    </xf>
    <xf numFmtId="175" fontId="3" fillId="4" borderId="0" xfId="0" applyNumberFormat="1" applyFont="1" applyFill="1" applyBorder="1" applyAlignment="1">
      <alignment horizontal="right"/>
    </xf>
    <xf numFmtId="169" fontId="2" fillId="4" borderId="18" xfId="0" applyNumberFormat="1" applyFont="1" applyFill="1" applyBorder="1" applyAlignment="1">
      <alignment horizontal="right"/>
    </xf>
    <xf numFmtId="169" fontId="2" fillId="4" borderId="18" xfId="0" applyNumberFormat="1" applyFont="1" applyFill="1" applyBorder="1" applyAlignment="1">
      <alignment horizontal="right" vertical="center"/>
    </xf>
    <xf numFmtId="0" fontId="14" fillId="4" borderId="0" xfId="0" applyFont="1" applyFill="1" applyAlignment="1">
      <alignment vertical="center"/>
    </xf>
    <xf numFmtId="169" fontId="2" fillId="4" borderId="0" xfId="0" applyNumberFormat="1" applyFont="1" applyFill="1" applyBorder="1" applyAlignment="1">
      <alignment horizontal="right"/>
    </xf>
    <xf numFmtId="0" fontId="31" fillId="4" borderId="0" xfId="0" applyFont="1" applyFill="1" applyAlignment="1">
      <alignment/>
    </xf>
    <xf numFmtId="169" fontId="3" fillId="4" borderId="19" xfId="0" applyNumberFormat="1" applyFont="1" applyFill="1" applyBorder="1" applyAlignment="1">
      <alignment horizontal="right"/>
    </xf>
    <xf numFmtId="169" fontId="2" fillId="4" borderId="20" xfId="0" applyNumberFormat="1" applyFont="1" applyFill="1" applyBorder="1" applyAlignment="1">
      <alignment horizontal="right" vertical="center"/>
    </xf>
    <xf numFmtId="0" fontId="4" fillId="4" borderId="0" xfId="0" applyFont="1" applyFill="1" applyAlignment="1">
      <alignment/>
    </xf>
    <xf numFmtId="0" fontId="19" fillId="4" borderId="0" xfId="0" applyFont="1" applyFill="1" applyAlignment="1">
      <alignment/>
    </xf>
    <xf numFmtId="0" fontId="26" fillId="2" borderId="0" xfId="0" applyFont="1" applyFill="1" applyAlignment="1">
      <alignment/>
    </xf>
    <xf numFmtId="0" fontId="32" fillId="2" borderId="0" xfId="0" applyFont="1" applyFill="1" applyAlignment="1">
      <alignment/>
    </xf>
    <xf numFmtId="0" fontId="20" fillId="2" borderId="21" xfId="0" applyFont="1" applyFill="1" applyBorder="1" applyAlignment="1">
      <alignment horizontal="left"/>
    </xf>
    <xf numFmtId="0" fontId="20" fillId="2" borderId="21" xfId="0" applyFont="1" applyFill="1" applyBorder="1" applyAlignment="1">
      <alignment horizontal="right"/>
    </xf>
    <xf numFmtId="0" fontId="11" fillId="2" borderId="22" xfId="0" applyFont="1" applyFill="1" applyBorder="1" applyAlignment="1">
      <alignment/>
    </xf>
    <xf numFmtId="0" fontId="13" fillId="2" borderId="22" xfId="0" applyFont="1" applyFill="1" applyBorder="1" applyAlignment="1">
      <alignment/>
    </xf>
    <xf numFmtId="0" fontId="11" fillId="2" borderId="0" xfId="0" applyFont="1" applyFill="1" applyAlignment="1">
      <alignment vertical="center"/>
    </xf>
    <xf numFmtId="0" fontId="13" fillId="2" borderId="0" xfId="0" applyFont="1" applyFill="1" applyAlignment="1">
      <alignment horizontal="right" vertical="center"/>
    </xf>
    <xf numFmtId="0" fontId="13" fillId="2" borderId="0" xfId="0" applyFont="1" applyFill="1" applyAlignment="1">
      <alignment horizontal="right"/>
    </xf>
    <xf numFmtId="0" fontId="13" fillId="2" borderId="0" xfId="0" applyFont="1" applyFill="1" applyBorder="1" applyAlignment="1">
      <alignment horizontal="right"/>
    </xf>
    <xf numFmtId="0" fontId="0" fillId="2" borderId="0" xfId="0" applyFont="1" applyFill="1" applyAlignment="1">
      <alignment horizontal="right" vertical="center"/>
    </xf>
    <xf numFmtId="0" fontId="11" fillId="2" borderId="0" xfId="0" applyFont="1" applyFill="1" applyAlignment="1">
      <alignment horizontal="right" vertical="center"/>
    </xf>
    <xf numFmtId="49" fontId="30" fillId="2" borderId="0" xfId="0" applyNumberFormat="1" applyFont="1" applyFill="1" applyAlignment="1">
      <alignment horizontal="right" vertical="center"/>
    </xf>
    <xf numFmtId="49" fontId="30" fillId="2" borderId="0" xfId="0" applyNumberFormat="1" applyFont="1" applyFill="1" applyAlignment="1">
      <alignment horizontal="right"/>
    </xf>
    <xf numFmtId="0" fontId="11" fillId="2" borderId="14" xfId="0" applyFont="1" applyFill="1" applyBorder="1" applyAlignment="1">
      <alignment vertical="center"/>
    </xf>
    <xf numFmtId="0" fontId="0" fillId="2" borderId="14" xfId="0" applyFont="1" applyFill="1" applyBorder="1" applyAlignment="1">
      <alignment horizontal="right" vertical="center"/>
    </xf>
    <xf numFmtId="0" fontId="11" fillId="2" borderId="14" xfId="0" applyFont="1" applyFill="1" applyBorder="1" applyAlignment="1">
      <alignment horizontal="right" vertical="center"/>
    </xf>
    <xf numFmtId="49" fontId="30" fillId="2" borderId="14" xfId="0" applyNumberFormat="1" applyFont="1" applyFill="1" applyBorder="1" applyAlignment="1">
      <alignment horizontal="right" vertical="center"/>
    </xf>
    <xf numFmtId="0" fontId="13" fillId="2" borderId="14" xfId="0" applyFont="1" applyFill="1" applyBorder="1" applyAlignment="1">
      <alignment horizontal="right" vertical="center"/>
    </xf>
    <xf numFmtId="0" fontId="11" fillId="2" borderId="14" xfId="0" applyFont="1" applyFill="1" applyBorder="1" applyAlignment="1">
      <alignment horizontal="right"/>
    </xf>
    <xf numFmtId="0" fontId="13" fillId="2" borderId="14" xfId="0" applyFont="1" applyFill="1" applyBorder="1" applyAlignment="1">
      <alignment horizontal="right"/>
    </xf>
    <xf numFmtId="0" fontId="12" fillId="2" borderId="0" xfId="0" applyFont="1" applyFill="1" applyAlignment="1">
      <alignment horizontal="left" vertical="center"/>
    </xf>
    <xf numFmtId="168" fontId="3" fillId="2" borderId="0" xfId="0" applyNumberFormat="1" applyFont="1" applyFill="1" applyAlignment="1">
      <alignment horizontal="right" vertical="center"/>
    </xf>
    <xf numFmtId="0" fontId="13" fillId="2" borderId="0" xfId="0" applyFont="1" applyFill="1" applyAlignment="1">
      <alignment/>
    </xf>
    <xf numFmtId="168" fontId="3" fillId="2" borderId="0" xfId="0" applyNumberFormat="1" applyFont="1" applyFill="1" applyAlignment="1">
      <alignment horizontal="right"/>
    </xf>
    <xf numFmtId="0" fontId="3" fillId="2" borderId="0" xfId="0" applyFont="1" applyFill="1" applyAlignment="1">
      <alignment/>
    </xf>
    <xf numFmtId="0" fontId="3" fillId="2" borderId="14" xfId="0" applyFont="1" applyFill="1" applyBorder="1" applyAlignment="1">
      <alignment/>
    </xf>
    <xf numFmtId="168" fontId="3" fillId="2" borderId="14" xfId="0" applyNumberFormat="1" applyFont="1" applyFill="1" applyBorder="1" applyAlignment="1">
      <alignment horizontal="right"/>
    </xf>
    <xf numFmtId="168" fontId="3" fillId="2" borderId="0" xfId="0" applyNumberFormat="1" applyFont="1" applyFill="1" applyBorder="1" applyAlignment="1">
      <alignment horizontal="right"/>
    </xf>
    <xf numFmtId="0" fontId="3" fillId="2" borderId="21" xfId="0" applyFont="1" applyFill="1" applyBorder="1" applyAlignment="1">
      <alignment/>
    </xf>
    <xf numFmtId="168" fontId="3" fillId="2" borderId="21" xfId="0" applyNumberFormat="1" applyFont="1" applyFill="1" applyBorder="1" applyAlignment="1">
      <alignment horizontal="right"/>
    </xf>
    <xf numFmtId="0" fontId="3" fillId="2" borderId="0" xfId="0" applyFont="1" applyFill="1" applyBorder="1" applyAlignment="1">
      <alignment/>
    </xf>
    <xf numFmtId="0" fontId="3" fillId="2" borderId="0" xfId="0" applyFont="1" applyFill="1" applyBorder="1" applyAlignment="1">
      <alignment horizontal="right"/>
    </xf>
    <xf numFmtId="0" fontId="11" fillId="2" borderId="0" xfId="0" applyFont="1" applyFill="1" applyBorder="1" applyAlignment="1">
      <alignment/>
    </xf>
    <xf numFmtId="0" fontId="3" fillId="2" borderId="0" xfId="0" applyFont="1" applyFill="1" applyBorder="1" applyAlignment="1">
      <alignment horizontal="center"/>
    </xf>
    <xf numFmtId="0" fontId="0" fillId="2" borderId="0" xfId="0" applyFill="1" applyAlignment="1">
      <alignment/>
    </xf>
    <xf numFmtId="0" fontId="11" fillId="2" borderId="0" xfId="0" applyFont="1" applyFill="1" applyAlignment="1">
      <alignment/>
    </xf>
    <xf numFmtId="0" fontId="0" fillId="2" borderId="0" xfId="0" applyFill="1" applyBorder="1" applyAlignment="1">
      <alignment/>
    </xf>
    <xf numFmtId="0" fontId="2" fillId="2" borderId="0" xfId="0" applyFont="1" applyFill="1" applyAlignment="1">
      <alignment horizontal="right"/>
    </xf>
    <xf numFmtId="0" fontId="0" fillId="2" borderId="0" xfId="0" applyFill="1" applyAlignment="1">
      <alignment vertical="center"/>
    </xf>
    <xf numFmtId="0" fontId="11" fillId="2" borderId="14" xfId="0" applyFont="1" applyFill="1" applyBorder="1" applyAlignment="1">
      <alignment/>
    </xf>
    <xf numFmtId="0" fontId="0" fillId="2" borderId="14" xfId="0" applyFill="1" applyBorder="1" applyAlignment="1">
      <alignment/>
    </xf>
    <xf numFmtId="49" fontId="33" fillId="2" borderId="14" xfId="0" applyNumberFormat="1" applyFont="1" applyFill="1" applyBorder="1" applyAlignment="1">
      <alignment horizontal="right"/>
    </xf>
    <xf numFmtId="0" fontId="14" fillId="2" borderId="14" xfId="0" applyFont="1" applyFill="1" applyBorder="1" applyAlignment="1">
      <alignment/>
    </xf>
    <xf numFmtId="0" fontId="13" fillId="2" borderId="0" xfId="0" applyFont="1" applyFill="1" applyAlignment="1">
      <alignment vertical="center"/>
    </xf>
    <xf numFmtId="0" fontId="14" fillId="2" borderId="0" xfId="0" applyFont="1" applyFill="1" applyAlignment="1">
      <alignment horizontal="right" vertical="center"/>
    </xf>
    <xf numFmtId="168" fontId="35" fillId="2" borderId="0" xfId="0" applyNumberFormat="1" applyFont="1" applyFill="1" applyBorder="1" applyAlignment="1">
      <alignment horizontal="right"/>
    </xf>
    <xf numFmtId="168" fontId="35" fillId="2" borderId="14" xfId="0" applyNumberFormat="1" applyFont="1" applyFill="1" applyBorder="1" applyAlignment="1">
      <alignment horizontal="right"/>
    </xf>
    <xf numFmtId="168" fontId="36" fillId="2" borderId="0" xfId="0" applyNumberFormat="1" applyFont="1" applyFill="1" applyAlignment="1">
      <alignment horizontal="right" vertical="center"/>
    </xf>
    <xf numFmtId="168" fontId="35" fillId="2" borderId="0" xfId="0" applyNumberFormat="1" applyFont="1" applyFill="1" applyAlignment="1">
      <alignment horizontal="right" vertical="center"/>
    </xf>
    <xf numFmtId="168" fontId="35" fillId="2" borderId="0" xfId="0" applyNumberFormat="1" applyFont="1" applyFill="1" applyAlignment="1">
      <alignment horizontal="right"/>
    </xf>
    <xf numFmtId="0" fontId="0" fillId="2" borderId="21" xfId="0" applyFill="1" applyBorder="1" applyAlignment="1">
      <alignment/>
    </xf>
    <xf numFmtId="168" fontId="35" fillId="2" borderId="21" xfId="0" applyNumberFormat="1" applyFont="1" applyFill="1" applyBorder="1" applyAlignment="1">
      <alignment horizontal="right"/>
    </xf>
    <xf numFmtId="174" fontId="3" fillId="2" borderId="0" xfId="0" applyNumberFormat="1" applyFont="1" applyFill="1" applyBorder="1" applyAlignment="1">
      <alignment horizontal="right"/>
    </xf>
    <xf numFmtId="174" fontId="0" fillId="2" borderId="0" xfId="0" applyNumberFormat="1" applyFill="1" applyBorder="1" applyAlignment="1">
      <alignment/>
    </xf>
    <xf numFmtId="174" fontId="3" fillId="2" borderId="0" xfId="0" applyNumberFormat="1" applyFont="1" applyFill="1" applyBorder="1" applyAlignment="1">
      <alignment/>
    </xf>
    <xf numFmtId="0" fontId="30" fillId="2" borderId="0" xfId="0" applyFont="1" applyFill="1" applyAlignment="1">
      <alignment/>
    </xf>
    <xf numFmtId="0" fontId="11" fillId="2" borderId="0" xfId="0" applyFont="1" applyFill="1" applyAlignment="1">
      <alignment horizontal="right"/>
    </xf>
    <xf numFmtId="0" fontId="37" fillId="2" borderId="0" xfId="0" applyFont="1" applyFill="1" applyAlignment="1">
      <alignment/>
    </xf>
    <xf numFmtId="165" fontId="3" fillId="0" borderId="0" xfId="0" applyNumberFormat="1" applyFont="1" applyFill="1" applyAlignment="1">
      <alignment horizontal="right" vertical="top" wrapText="1"/>
    </xf>
    <xf numFmtId="170" fontId="13" fillId="4" borderId="0" xfId="19" applyNumberFormat="1" applyFont="1" applyFill="1" applyAlignment="1">
      <alignment/>
    </xf>
    <xf numFmtId="170" fontId="3" fillId="4" borderId="0" xfId="19" applyNumberFormat="1" applyFont="1" applyFill="1" applyAlignment="1">
      <alignment horizontal="right"/>
    </xf>
    <xf numFmtId="170" fontId="3" fillId="4" borderId="0" xfId="19" applyNumberFormat="1" applyFont="1" applyFill="1" applyAlignment="1">
      <alignment/>
    </xf>
    <xf numFmtId="170" fontId="3" fillId="4" borderId="0" xfId="19" applyNumberFormat="1" applyFont="1" applyFill="1" applyBorder="1" applyAlignment="1">
      <alignment/>
    </xf>
    <xf numFmtId="170" fontId="3" fillId="4" borderId="0" xfId="19" applyNumberFormat="1" applyFont="1" applyFill="1" applyBorder="1" applyAlignment="1" applyProtection="1">
      <alignment/>
      <protection/>
    </xf>
    <xf numFmtId="170" fontId="3" fillId="4" borderId="0" xfId="19" applyNumberFormat="1" applyFont="1" applyFill="1" applyBorder="1" applyAlignment="1">
      <alignment horizontal="right"/>
    </xf>
    <xf numFmtId="170" fontId="13" fillId="4" borderId="18" xfId="19" applyNumberFormat="1" applyFont="1" applyFill="1" applyBorder="1" applyAlignment="1">
      <alignment vertical="center"/>
    </xf>
    <xf numFmtId="170" fontId="2" fillId="4" borderId="18" xfId="19" applyNumberFormat="1" applyFont="1" applyFill="1" applyBorder="1" applyAlignment="1">
      <alignment horizontal="right"/>
    </xf>
    <xf numFmtId="170" fontId="2" fillId="4" borderId="18" xfId="19" applyNumberFormat="1" applyFont="1" applyFill="1" applyBorder="1" applyAlignment="1">
      <alignment horizontal="right" vertical="center"/>
    </xf>
    <xf numFmtId="170" fontId="2" fillId="4" borderId="0" xfId="19" applyNumberFormat="1" applyFont="1" applyFill="1" applyBorder="1" applyAlignment="1">
      <alignment horizontal="right"/>
    </xf>
    <xf numFmtId="170" fontId="2" fillId="4" borderId="0" xfId="19" applyNumberFormat="1" applyFont="1" applyFill="1" applyAlignment="1">
      <alignment horizontal="right"/>
    </xf>
    <xf numFmtId="170" fontId="3" fillId="4" borderId="19" xfId="19" applyNumberFormat="1" applyFont="1" applyFill="1" applyBorder="1" applyAlignment="1">
      <alignment/>
    </xf>
    <xf numFmtId="170" fontId="3" fillId="4" borderId="19" xfId="19" applyNumberFormat="1" applyFont="1" applyFill="1" applyBorder="1" applyAlignment="1">
      <alignment horizontal="right"/>
    </xf>
    <xf numFmtId="170" fontId="13" fillId="4" borderId="0" xfId="19" applyNumberFormat="1" applyFont="1" applyFill="1" applyBorder="1" applyAlignment="1">
      <alignment/>
    </xf>
    <xf numFmtId="170" fontId="13" fillId="4" borderId="19" xfId="19" applyNumberFormat="1" applyFont="1" applyFill="1" applyBorder="1" applyAlignment="1">
      <alignment/>
    </xf>
    <xf numFmtId="170" fontId="13" fillId="4" borderId="18" xfId="19" applyNumberFormat="1" applyFont="1" applyFill="1" applyBorder="1" applyAlignment="1">
      <alignment/>
    </xf>
    <xf numFmtId="170" fontId="13" fillId="4" borderId="20" xfId="19" applyNumberFormat="1" applyFont="1" applyFill="1" applyBorder="1" applyAlignment="1">
      <alignment vertical="center"/>
    </xf>
    <xf numFmtId="170" fontId="2" fillId="4" borderId="20" xfId="19" applyNumberFormat="1" applyFont="1" applyFill="1" applyBorder="1" applyAlignment="1">
      <alignment horizontal="right" vertical="center"/>
    </xf>
    <xf numFmtId="0" fontId="28" fillId="4" borderId="3" xfId="0" applyFont="1" applyFill="1" applyBorder="1" applyAlignment="1">
      <alignment/>
    </xf>
    <xf numFmtId="0" fontId="28" fillId="4" borderId="9" xfId="0" applyFont="1" applyFill="1" applyBorder="1" applyAlignment="1">
      <alignment/>
    </xf>
    <xf numFmtId="0" fontId="20" fillId="4" borderId="9" xfId="0" applyFont="1" applyFill="1" applyBorder="1" applyAlignment="1">
      <alignment horizontal="right"/>
    </xf>
    <xf numFmtId="176" fontId="13" fillId="4" borderId="23" xfId="0" applyNumberFormat="1" applyFont="1" applyFill="1" applyBorder="1" applyAlignment="1">
      <alignment horizontal="right" vertical="top" wrapText="1"/>
    </xf>
    <xf numFmtId="170" fontId="3" fillId="4" borderId="9" xfId="19" applyNumberFormat="1" applyFont="1" applyFill="1" applyBorder="1" applyAlignment="1">
      <alignment/>
    </xf>
    <xf numFmtId="170" fontId="3" fillId="4" borderId="9" xfId="19" applyNumberFormat="1" applyFont="1" applyFill="1" applyBorder="1" applyAlignment="1">
      <alignment horizontal="right"/>
    </xf>
    <xf numFmtId="170" fontId="2" fillId="4" borderId="24" xfId="19" applyNumberFormat="1" applyFont="1" applyFill="1" applyBorder="1" applyAlignment="1">
      <alignment horizontal="right" vertical="center"/>
    </xf>
    <xf numFmtId="170" fontId="2" fillId="4" borderId="9" xfId="19" applyNumberFormat="1" applyFont="1" applyFill="1" applyBorder="1" applyAlignment="1">
      <alignment horizontal="right"/>
    </xf>
    <xf numFmtId="170" fontId="3" fillId="4" borderId="25" xfId="19" applyNumberFormat="1" applyFont="1" applyFill="1" applyBorder="1" applyAlignment="1">
      <alignment horizontal="right"/>
    </xf>
    <xf numFmtId="170" fontId="2" fillId="4" borderId="26" xfId="19" applyNumberFormat="1" applyFont="1" applyFill="1" applyBorder="1" applyAlignment="1">
      <alignment horizontal="right" vertical="center"/>
    </xf>
    <xf numFmtId="3" fontId="3" fillId="4" borderId="0" xfId="0" applyNumberFormat="1" applyFont="1" applyFill="1" applyBorder="1" applyAlignment="1">
      <alignment/>
    </xf>
    <xf numFmtId="3" fontId="3" fillId="4" borderId="9" xfId="0" applyNumberFormat="1" applyFont="1" applyFill="1" applyBorder="1" applyAlignment="1">
      <alignment/>
    </xf>
    <xf numFmtId="169" fontId="3" fillId="4" borderId="9" xfId="0" applyNumberFormat="1" applyFont="1" applyFill="1" applyBorder="1" applyAlignment="1">
      <alignment horizontal="right"/>
    </xf>
    <xf numFmtId="175" fontId="3" fillId="4" borderId="9" xfId="0" applyNumberFormat="1" applyFont="1" applyFill="1" applyBorder="1" applyAlignment="1">
      <alignment horizontal="right"/>
    </xf>
    <xf numFmtId="169" fontId="2" fillId="4" borderId="24" xfId="0" applyNumberFormat="1" applyFont="1" applyFill="1" applyBorder="1" applyAlignment="1">
      <alignment horizontal="right" vertical="center"/>
    </xf>
    <xf numFmtId="169" fontId="2" fillId="4" borderId="9" xfId="0" applyNumberFormat="1" applyFont="1" applyFill="1" applyBorder="1" applyAlignment="1">
      <alignment horizontal="right"/>
    </xf>
    <xf numFmtId="169" fontId="3" fillId="4" borderId="25" xfId="0" applyNumberFormat="1" applyFont="1" applyFill="1" applyBorder="1" applyAlignment="1">
      <alignment horizontal="right"/>
    </xf>
    <xf numFmtId="169" fontId="2" fillId="4" borderId="26" xfId="0" applyNumberFormat="1" applyFont="1" applyFill="1" applyBorder="1" applyAlignment="1">
      <alignment horizontal="right" vertical="center"/>
    </xf>
    <xf numFmtId="0" fontId="3" fillId="4" borderId="27" xfId="0" applyFont="1" applyFill="1" applyBorder="1" applyAlignment="1">
      <alignment horizontal="right" vertical="top" wrapText="1"/>
    </xf>
    <xf numFmtId="0" fontId="13" fillId="4" borderId="8" xfId="0" applyFont="1" applyFill="1" applyBorder="1" applyAlignment="1">
      <alignment/>
    </xf>
    <xf numFmtId="0" fontId="3" fillId="4" borderId="8" xfId="0" applyFont="1" applyFill="1" applyBorder="1" applyAlignment="1">
      <alignment/>
    </xf>
    <xf numFmtId="0" fontId="13" fillId="4" borderId="28" xfId="0" applyFont="1" applyFill="1" applyBorder="1" applyAlignment="1">
      <alignment vertical="center"/>
    </xf>
    <xf numFmtId="0" fontId="3" fillId="4" borderId="29" xfId="0" applyFont="1" applyFill="1" applyBorder="1" applyAlignment="1">
      <alignment/>
    </xf>
    <xf numFmtId="0" fontId="13" fillId="4" borderId="29" xfId="0" applyFont="1" applyFill="1" applyBorder="1" applyAlignment="1">
      <alignment/>
    </xf>
    <xf numFmtId="0" fontId="13" fillId="4" borderId="28" xfId="0" applyFont="1" applyFill="1" applyBorder="1" applyAlignment="1">
      <alignment/>
    </xf>
    <xf numFmtId="0" fontId="13" fillId="4" borderId="30" xfId="0" applyFont="1" applyFill="1" applyBorder="1" applyAlignment="1">
      <alignment vertical="center"/>
    </xf>
    <xf numFmtId="0" fontId="39" fillId="4" borderId="16" xfId="0" applyFont="1" applyFill="1" applyBorder="1" applyAlignment="1">
      <alignment/>
    </xf>
    <xf numFmtId="0" fontId="3" fillId="2" borderId="16" xfId="0" applyFont="1" applyFill="1" applyBorder="1" applyAlignment="1">
      <alignment horizontal="center"/>
    </xf>
    <xf numFmtId="0" fontId="3" fillId="2" borderId="3" xfId="0" applyFont="1" applyFill="1" applyBorder="1" applyAlignment="1">
      <alignment horizontal="center"/>
    </xf>
    <xf numFmtId="0" fontId="3" fillId="5" borderId="16" xfId="0" applyFont="1" applyFill="1" applyBorder="1" applyAlignment="1">
      <alignment horizontal="center"/>
    </xf>
    <xf numFmtId="0" fontId="3" fillId="2" borderId="15" xfId="0" applyFont="1" applyFill="1" applyBorder="1" applyAlignment="1">
      <alignment horizontal="center"/>
    </xf>
    <xf numFmtId="167" fontId="3" fillId="0" borderId="8" xfId="21" applyNumberFormat="1" applyFont="1" applyFill="1" applyBorder="1" applyAlignment="1" applyProtection="1">
      <alignment/>
      <protection/>
    </xf>
    <xf numFmtId="167" fontId="3" fillId="0" borderId="11" xfId="21" applyNumberFormat="1" applyFont="1" applyFill="1" applyBorder="1" applyAlignment="1" applyProtection="1">
      <alignment/>
      <protection/>
    </xf>
    <xf numFmtId="0" fontId="3" fillId="0" borderId="0" xfId="0" applyFont="1" applyAlignment="1">
      <alignment horizontal="right" wrapText="1"/>
    </xf>
    <xf numFmtId="165" fontId="4" fillId="0" borderId="0" xfId="0" applyNumberFormat="1" applyFont="1" applyFill="1" applyAlignment="1">
      <alignment horizontal="left"/>
    </xf>
    <xf numFmtId="0" fontId="19" fillId="0" borderId="0" xfId="0" applyFont="1" applyAlignment="1">
      <alignment/>
    </xf>
    <xf numFmtId="0" fontId="12" fillId="0" borderId="4" xfId="0" applyFont="1" applyBorder="1" applyAlignment="1">
      <alignment/>
    </xf>
    <xf numFmtId="165" fontId="36" fillId="0" borderId="0" xfId="0" applyNumberFormat="1" applyFont="1" applyFill="1" applyAlignment="1">
      <alignment/>
    </xf>
    <xf numFmtId="165" fontId="36" fillId="4" borderId="0" xfId="0" applyNumberFormat="1" applyFont="1" applyFill="1" applyAlignment="1">
      <alignment/>
    </xf>
    <xf numFmtId="165" fontId="3" fillId="0" borderId="0" xfId="0" applyNumberFormat="1" applyFont="1" applyAlignment="1">
      <alignment horizontal="left"/>
    </xf>
    <xf numFmtId="177" fontId="3" fillId="2" borderId="0" xfId="0" applyNumberFormat="1" applyFont="1" applyFill="1" applyAlignment="1">
      <alignment horizontal="right" vertical="center"/>
    </xf>
    <xf numFmtId="177" fontId="3" fillId="2" borderId="0" xfId="0" applyNumberFormat="1" applyFont="1" applyFill="1" applyAlignment="1">
      <alignment horizontal="right"/>
    </xf>
    <xf numFmtId="177" fontId="3" fillId="2" borderId="14" xfId="0" applyNumberFormat="1" applyFont="1" applyFill="1" applyBorder="1" applyAlignment="1">
      <alignment horizontal="right"/>
    </xf>
    <xf numFmtId="177" fontId="3" fillId="2" borderId="0" xfId="0" applyNumberFormat="1" applyFont="1" applyFill="1" applyBorder="1" applyAlignment="1">
      <alignment horizontal="right"/>
    </xf>
    <xf numFmtId="177" fontId="3" fillId="2" borderId="21" xfId="0" applyNumberFormat="1" applyFont="1" applyFill="1" applyBorder="1" applyAlignment="1">
      <alignment horizontal="right"/>
    </xf>
    <xf numFmtId="170" fontId="3" fillId="0" borderId="0" xfId="19" applyNumberFormat="1" applyFont="1" applyAlignment="1">
      <alignment horizontal="left"/>
    </xf>
    <xf numFmtId="170" fontId="2" fillId="0" borderId="0" xfId="19" applyNumberFormat="1" applyFont="1" applyAlignment="1">
      <alignment horizontal="left"/>
    </xf>
    <xf numFmtId="170" fontId="3" fillId="0" borderId="0" xfId="19" applyNumberFormat="1" applyFont="1" applyBorder="1" applyAlignment="1">
      <alignment horizontal="left"/>
    </xf>
    <xf numFmtId="170" fontId="3" fillId="0" borderId="0" xfId="19" applyNumberFormat="1" applyFont="1" applyFill="1" applyBorder="1" applyAlignment="1">
      <alignment horizontal="left"/>
    </xf>
    <xf numFmtId="165" fontId="4" fillId="0" borderId="0" xfId="0" applyNumberFormat="1" applyFont="1" applyAlignment="1">
      <alignment/>
    </xf>
    <xf numFmtId="0" fontId="3" fillId="0" borderId="15" xfId="0" applyFont="1" applyBorder="1" applyAlignment="1">
      <alignment/>
    </xf>
    <xf numFmtId="0" fontId="12" fillId="0" borderId="0" xfId="0" applyFont="1" applyAlignment="1">
      <alignment/>
    </xf>
    <xf numFmtId="170" fontId="3" fillId="0" borderId="0" xfId="19" applyNumberFormat="1" applyFont="1" applyFill="1" applyBorder="1" applyAlignment="1">
      <alignment horizontal="right"/>
    </xf>
    <xf numFmtId="170" fontId="3" fillId="0" borderId="0" xfId="19" applyNumberFormat="1" applyFont="1" applyBorder="1" applyAlignment="1">
      <alignment/>
    </xf>
    <xf numFmtId="170" fontId="3" fillId="0" borderId="0" xfId="19" applyNumberFormat="1" applyFont="1" applyAlignment="1">
      <alignment/>
    </xf>
    <xf numFmtId="170" fontId="4" fillId="0" borderId="0" xfId="19" applyNumberFormat="1" applyFont="1" applyAlignment="1">
      <alignment horizontal="left"/>
    </xf>
    <xf numFmtId="170" fontId="0" fillId="0" borderId="0" xfId="19" applyNumberFormat="1" applyFont="1" applyAlignment="1">
      <alignment horizontal="left"/>
    </xf>
    <xf numFmtId="170" fontId="3" fillId="0" borderId="0" xfId="19" applyNumberFormat="1" applyFont="1" applyFill="1" applyAlignment="1">
      <alignment/>
    </xf>
    <xf numFmtId="170" fontId="3" fillId="0" borderId="0" xfId="19" applyNumberFormat="1" applyFont="1" applyAlignment="1">
      <alignment horizontal="right"/>
    </xf>
    <xf numFmtId="170" fontId="3" fillId="0" borderId="0" xfId="19" applyNumberFormat="1" applyFont="1" applyFill="1" applyBorder="1" applyAlignment="1">
      <alignment/>
    </xf>
    <xf numFmtId="170" fontId="0" fillId="0" borderId="0" xfId="19" applyNumberFormat="1" applyFont="1" applyAlignment="1">
      <alignment/>
    </xf>
    <xf numFmtId="170" fontId="3" fillId="0" borderId="31" xfId="19" applyNumberFormat="1" applyFont="1" applyBorder="1" applyAlignment="1">
      <alignment/>
    </xf>
    <xf numFmtId="170" fontId="3" fillId="0" borderId="31" xfId="19" applyNumberFormat="1" applyFont="1" applyBorder="1" applyAlignment="1">
      <alignment horizontal="right"/>
    </xf>
    <xf numFmtId="170" fontId="3" fillId="0" borderId="0" xfId="19" applyNumberFormat="1" applyFont="1" applyBorder="1" applyAlignment="1">
      <alignment horizontal="right"/>
    </xf>
    <xf numFmtId="170" fontId="12" fillId="0" borderId="0" xfId="19" applyNumberFormat="1" applyFont="1" applyAlignment="1">
      <alignment/>
    </xf>
    <xf numFmtId="170" fontId="2" fillId="0" borderId="0" xfId="19" applyNumberFormat="1" applyFont="1" applyAlignment="1">
      <alignment/>
    </xf>
    <xf numFmtId="170" fontId="4" fillId="0" borderId="0" xfId="19" applyNumberFormat="1" applyFont="1" applyBorder="1" applyAlignment="1">
      <alignment/>
    </xf>
    <xf numFmtId="170" fontId="2" fillId="0" borderId="0" xfId="19" applyNumberFormat="1" applyFont="1" applyAlignment="1">
      <alignment horizontal="right"/>
    </xf>
    <xf numFmtId="0" fontId="3" fillId="4" borderId="7" xfId="0" applyFont="1" applyFill="1" applyBorder="1" applyAlignment="1">
      <alignment horizontal="right"/>
    </xf>
    <xf numFmtId="0" fontId="3" fillId="4" borderId="14" xfId="0" applyFont="1" applyFill="1" applyBorder="1" applyAlignment="1">
      <alignment horizontal="right"/>
    </xf>
    <xf numFmtId="170" fontId="3" fillId="4" borderId="14" xfId="0" applyNumberFormat="1" applyFont="1" applyFill="1" applyBorder="1" applyAlignment="1">
      <alignment horizontal="right"/>
    </xf>
    <xf numFmtId="0" fontId="3" fillId="4" borderId="11" xfId="0" applyFont="1" applyFill="1" applyBorder="1" applyAlignment="1">
      <alignment horizontal="left"/>
    </xf>
    <xf numFmtId="0" fontId="3" fillId="4" borderId="7" xfId="0" applyFont="1" applyFill="1" applyBorder="1" applyAlignment="1">
      <alignment horizontal="center"/>
    </xf>
    <xf numFmtId="0" fontId="3" fillId="4" borderId="5" xfId="0" applyFont="1" applyFill="1" applyBorder="1" applyAlignment="1">
      <alignment horizontal="center"/>
    </xf>
    <xf numFmtId="170" fontId="3" fillId="4" borderId="14" xfId="0" applyNumberFormat="1" applyFont="1" applyFill="1" applyBorder="1" applyAlignment="1">
      <alignment horizontal="center"/>
    </xf>
    <xf numFmtId="170" fontId="3" fillId="4" borderId="12" xfId="0" applyNumberFormat="1" applyFont="1" applyFill="1" applyBorder="1" applyAlignment="1">
      <alignment horizontal="center"/>
    </xf>
    <xf numFmtId="0" fontId="2" fillId="4" borderId="4" xfId="0" applyFont="1" applyFill="1" applyBorder="1" applyAlignment="1">
      <alignment horizontal="left"/>
    </xf>
    <xf numFmtId="170" fontId="2" fillId="0" borderId="0" xfId="19" applyNumberFormat="1" applyFont="1" applyFill="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xf>
    <xf numFmtId="0" fontId="3" fillId="0" borderId="4" xfId="0" applyFont="1" applyBorder="1" applyAlignment="1">
      <alignment horizontal="center"/>
    </xf>
    <xf numFmtId="0" fontId="3" fillId="0" borderId="11" xfId="0" applyFont="1" applyBorder="1" applyAlignment="1">
      <alignment horizontal="center"/>
    </xf>
    <xf numFmtId="43" fontId="3" fillId="0" borderId="4" xfId="19" applyFont="1" applyBorder="1" applyAlignment="1">
      <alignment horizontal="center"/>
    </xf>
    <xf numFmtId="43" fontId="3" fillId="0" borderId="5" xfId="19" applyFont="1" applyBorder="1" applyAlignment="1">
      <alignment horizontal="center"/>
    </xf>
    <xf numFmtId="171" fontId="3" fillId="0" borderId="11" xfId="19" applyNumberFormat="1" applyFont="1" applyBorder="1" applyAlignment="1">
      <alignment horizontal="center"/>
    </xf>
    <xf numFmtId="43" fontId="3" fillId="0" borderId="12" xfId="19" applyFont="1" applyBorder="1" applyAlignment="1">
      <alignment horizontal="center"/>
    </xf>
    <xf numFmtId="170" fontId="4" fillId="0" borderId="0" xfId="19" applyNumberFormat="1" applyFont="1" applyAlignment="1">
      <alignment/>
    </xf>
    <xf numFmtId="170" fontId="4" fillId="0" borderId="0" xfId="19" applyNumberFormat="1" applyFont="1" applyFill="1" applyBorder="1" applyAlignment="1">
      <alignment/>
    </xf>
    <xf numFmtId="43" fontId="12" fillId="0" borderId="0" xfId="19" applyFont="1" applyAlignment="1">
      <alignment/>
    </xf>
    <xf numFmtId="0" fontId="3" fillId="0" borderId="0" xfId="0" applyFont="1" applyBorder="1" applyAlignment="1">
      <alignment/>
    </xf>
    <xf numFmtId="165" fontId="2" fillId="0" borderId="0" xfId="0" applyNumberFormat="1" applyFont="1" applyFill="1" applyAlignment="1">
      <alignment horizontal="center"/>
    </xf>
    <xf numFmtId="165" fontId="2" fillId="0" borderId="0" xfId="0" applyNumberFormat="1" applyFont="1" applyFill="1" applyBorder="1" applyAlignment="1">
      <alignment horizontal="center" vertical="top" wrapText="1"/>
    </xf>
    <xf numFmtId="165" fontId="3" fillId="0" borderId="0" xfId="0" applyNumberFormat="1" applyFont="1" applyAlignment="1">
      <alignment horizontal="center"/>
    </xf>
    <xf numFmtId="165" fontId="2" fillId="0" borderId="0" xfId="0" applyNumberFormat="1" applyFont="1" applyAlignment="1">
      <alignment horizontal="center" wrapText="1"/>
    </xf>
    <xf numFmtId="165" fontId="2" fillId="0" borderId="0" xfId="0" applyNumberFormat="1" applyFont="1" applyFill="1" applyAlignment="1">
      <alignment horizontal="center" wrapText="1"/>
    </xf>
    <xf numFmtId="165" fontId="2" fillId="0" borderId="0" xfId="0" applyNumberFormat="1" applyFont="1" applyAlignment="1">
      <alignment horizontal="center" wrapText="1"/>
    </xf>
    <xf numFmtId="165" fontId="3" fillId="0" borderId="0" xfId="0" applyNumberFormat="1" applyFont="1" applyFill="1" applyAlignment="1">
      <alignment horizontal="center"/>
    </xf>
    <xf numFmtId="165" fontId="3" fillId="5" borderId="0" xfId="0" applyNumberFormat="1" applyFont="1" applyFill="1" applyAlignment="1">
      <alignment horizontal="center"/>
    </xf>
    <xf numFmtId="165" fontId="3" fillId="0" borderId="0" xfId="0" applyNumberFormat="1" applyFont="1" applyFill="1" applyBorder="1" applyAlignment="1">
      <alignment horizontal="center"/>
    </xf>
    <xf numFmtId="165" fontId="15" fillId="0" borderId="0" xfId="0" applyNumberFormat="1" applyFont="1" applyFill="1" applyAlignment="1">
      <alignment horizontal="center"/>
    </xf>
    <xf numFmtId="165" fontId="4" fillId="0" borderId="0" xfId="0" applyNumberFormat="1" applyFont="1" applyFill="1" applyAlignment="1">
      <alignment horizontal="center"/>
    </xf>
    <xf numFmtId="165" fontId="4" fillId="0" borderId="0" xfId="0" applyNumberFormat="1" applyFont="1" applyAlignment="1">
      <alignment horizontal="center"/>
    </xf>
    <xf numFmtId="165" fontId="36" fillId="0" borderId="0" xfId="0" applyNumberFormat="1" applyFont="1" applyFill="1" applyAlignment="1">
      <alignment horizontal="center"/>
    </xf>
    <xf numFmtId="165" fontId="3" fillId="0" borderId="0" xfId="0" applyNumberFormat="1" applyFont="1" applyFill="1" applyAlignment="1">
      <alignment horizontal="center"/>
    </xf>
    <xf numFmtId="165" fontId="3" fillId="0" borderId="0" xfId="0" applyNumberFormat="1" applyFont="1" applyAlignment="1">
      <alignment horizontal="center"/>
    </xf>
    <xf numFmtId="165" fontId="4" fillId="0" borderId="0" xfId="0" applyNumberFormat="1" applyFont="1" applyFill="1" applyBorder="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4" fillId="0" borderId="0" xfId="0" applyFont="1" applyAlignment="1">
      <alignment horizontal="center"/>
    </xf>
    <xf numFmtId="0" fontId="4" fillId="0" borderId="0" xfId="0" applyFont="1" applyFill="1" applyAlignment="1">
      <alignment horizontal="center"/>
    </xf>
    <xf numFmtId="165" fontId="3" fillId="0" borderId="0" xfId="0" applyNumberFormat="1" applyFont="1" applyBorder="1" applyAlignment="1">
      <alignment horizontal="center"/>
    </xf>
    <xf numFmtId="165" fontId="3"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165" fontId="3" fillId="0" borderId="0" xfId="0" applyNumberFormat="1" applyFont="1" applyBorder="1" applyAlignment="1">
      <alignment horizontal="center"/>
    </xf>
    <xf numFmtId="0" fontId="3" fillId="0" borderId="0" xfId="0" applyFont="1" applyFill="1" applyBorder="1" applyAlignment="1">
      <alignment horizontal="center"/>
    </xf>
    <xf numFmtId="167" fontId="3" fillId="0" borderId="0" xfId="0" applyNumberFormat="1" applyFont="1" applyBorder="1" applyAlignment="1">
      <alignment horizontal="center"/>
    </xf>
    <xf numFmtId="166" fontId="3" fillId="0" borderId="0" xfId="0" applyNumberFormat="1" applyFont="1" applyBorder="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16" xfId="0" applyFont="1" applyBorder="1" applyAlignment="1">
      <alignment horizontal="center"/>
    </xf>
    <xf numFmtId="0" fontId="3" fillId="0" borderId="4" xfId="0" applyFont="1" applyBorder="1" applyAlignment="1">
      <alignment horizontal="center" wrapText="1"/>
    </xf>
    <xf numFmtId="0" fontId="3" fillId="0" borderId="5" xfId="0" applyFont="1" applyBorder="1" applyAlignment="1">
      <alignment horizontal="center" wrapText="1"/>
    </xf>
    <xf numFmtId="1" fontId="3" fillId="0" borderId="11" xfId="0" applyNumberFormat="1" applyFont="1" applyBorder="1" applyAlignment="1">
      <alignment horizontal="center"/>
    </xf>
    <xf numFmtId="1" fontId="3" fillId="0" borderId="12" xfId="0" applyNumberFormat="1" applyFont="1" applyBorder="1" applyAlignment="1">
      <alignment horizontal="center"/>
    </xf>
    <xf numFmtId="0" fontId="3" fillId="5" borderId="3" xfId="0" applyFont="1" applyFill="1" applyBorder="1" applyAlignment="1">
      <alignment horizontal="center"/>
    </xf>
    <xf numFmtId="0" fontId="2" fillId="4" borderId="15" xfId="0" applyFont="1" applyFill="1" applyBorder="1" applyAlignment="1">
      <alignment horizontal="center"/>
    </xf>
    <xf numFmtId="0" fontId="2" fillId="4" borderId="3" xfId="0" applyFont="1" applyFill="1" applyBorder="1" applyAlignment="1">
      <alignment horizontal="center"/>
    </xf>
    <xf numFmtId="0" fontId="3" fillId="4" borderId="8" xfId="0" applyFont="1" applyFill="1" applyBorder="1" applyAlignment="1">
      <alignment horizontal="center"/>
    </xf>
    <xf numFmtId="170" fontId="3" fillId="4" borderId="10" xfId="0" applyNumberFormat="1" applyFont="1" applyFill="1" applyBorder="1" applyAlignment="1">
      <alignment horizontal="center"/>
    </xf>
    <xf numFmtId="0" fontId="2" fillId="4" borderId="32" xfId="0" applyFont="1" applyFill="1" applyBorder="1" applyAlignment="1">
      <alignment horizontal="center" vertical="center"/>
    </xf>
    <xf numFmtId="171" fontId="2" fillId="4" borderId="2" xfId="0" applyNumberFormat="1" applyFont="1" applyFill="1" applyBorder="1" applyAlignment="1">
      <alignment horizontal="center" vertical="center"/>
    </xf>
    <xf numFmtId="0" fontId="39" fillId="4" borderId="0" xfId="0" applyFont="1" applyFill="1" applyAlignment="1">
      <alignment/>
    </xf>
    <xf numFmtId="171" fontId="10" fillId="0" borderId="0" xfId="19" applyNumberFormat="1" applyFont="1" applyAlignment="1">
      <alignment/>
    </xf>
    <xf numFmtId="171" fontId="12" fillId="0" borderId="0" xfId="19" applyNumberFormat="1" applyFont="1" applyAlignment="1">
      <alignment/>
    </xf>
    <xf numFmtId="171" fontId="46" fillId="2" borderId="33" xfId="19" applyNumberFormat="1" applyFont="1" applyFill="1" applyBorder="1" applyAlignment="1">
      <alignment vertical="top" wrapText="1"/>
    </xf>
    <xf numFmtId="171" fontId="46" fillId="2" borderId="33" xfId="19" applyNumberFormat="1" applyFont="1" applyFill="1" applyBorder="1" applyAlignment="1">
      <alignment horizontal="center" vertical="top" wrapText="1"/>
    </xf>
    <xf numFmtId="171" fontId="46" fillId="2" borderId="34" xfId="19" applyNumberFormat="1" applyFont="1" applyFill="1" applyBorder="1" applyAlignment="1">
      <alignment vertical="top" wrapText="1"/>
    </xf>
    <xf numFmtId="171" fontId="46" fillId="2" borderId="34" xfId="19" applyNumberFormat="1" applyFont="1" applyFill="1" applyBorder="1" applyAlignment="1">
      <alignment horizontal="center" vertical="top" wrapText="1"/>
    </xf>
    <xf numFmtId="171" fontId="46" fillId="2" borderId="35" xfId="19" applyNumberFormat="1" applyFont="1" applyFill="1" applyBorder="1" applyAlignment="1">
      <alignment vertical="top" wrapText="1"/>
    </xf>
    <xf numFmtId="171" fontId="46" fillId="2" borderId="35" xfId="19" applyNumberFormat="1" applyFont="1" applyFill="1" applyBorder="1" applyAlignment="1">
      <alignment horizontal="center" vertical="top" wrapText="1"/>
    </xf>
    <xf numFmtId="171" fontId="10" fillId="2" borderId="35" xfId="19" applyNumberFormat="1" applyFont="1" applyFill="1" applyBorder="1" applyAlignment="1">
      <alignment vertical="top" wrapText="1"/>
    </xf>
    <xf numFmtId="171" fontId="46" fillId="2" borderId="36" xfId="19" applyNumberFormat="1" applyFont="1" applyFill="1" applyBorder="1" applyAlignment="1">
      <alignment vertical="top" wrapText="1"/>
    </xf>
    <xf numFmtId="171" fontId="46" fillId="2" borderId="36" xfId="19" applyNumberFormat="1" applyFont="1" applyFill="1" applyBorder="1" applyAlignment="1">
      <alignment horizontal="right" vertical="top" wrapText="1"/>
    </xf>
    <xf numFmtId="171" fontId="10" fillId="2" borderId="36" xfId="19" applyNumberFormat="1" applyFont="1" applyFill="1" applyBorder="1" applyAlignment="1">
      <alignment horizontal="left" vertical="top" wrapText="1"/>
    </xf>
    <xf numFmtId="171" fontId="10" fillId="2" borderId="36" xfId="19" applyNumberFormat="1" applyFont="1" applyFill="1" applyBorder="1" applyAlignment="1">
      <alignment horizontal="right" vertical="top" wrapText="1"/>
    </xf>
    <xf numFmtId="171" fontId="10" fillId="2" borderId="36" xfId="19" applyNumberFormat="1" applyFont="1" applyFill="1" applyBorder="1" applyAlignment="1">
      <alignment vertical="top" wrapText="1"/>
    </xf>
    <xf numFmtId="171" fontId="10" fillId="2" borderId="36" xfId="19" applyNumberFormat="1" applyFont="1" applyFill="1" applyBorder="1" applyAlignment="1">
      <alignment horizontal="left" vertical="top" wrapText="1"/>
    </xf>
    <xf numFmtId="171" fontId="47" fillId="2" borderId="33" xfId="19" applyNumberFormat="1" applyFont="1" applyFill="1" applyBorder="1" applyAlignment="1">
      <alignment vertical="top" wrapText="1"/>
    </xf>
    <xf numFmtId="171" fontId="47" fillId="2" borderId="33" xfId="19" applyNumberFormat="1" applyFont="1" applyFill="1" applyBorder="1" applyAlignment="1">
      <alignment horizontal="right" vertical="top" wrapText="1"/>
    </xf>
    <xf numFmtId="171" fontId="47" fillId="2" borderId="35" xfId="19" applyNumberFormat="1" applyFont="1" applyFill="1" applyBorder="1" applyAlignment="1">
      <alignment vertical="top" wrapText="1"/>
    </xf>
    <xf numFmtId="171" fontId="47" fillId="2" borderId="35" xfId="19" applyNumberFormat="1" applyFont="1" applyFill="1" applyBorder="1" applyAlignment="1">
      <alignment horizontal="right" vertical="top" wrapText="1"/>
    </xf>
    <xf numFmtId="171" fontId="47" fillId="2" borderId="0" xfId="19" applyNumberFormat="1" applyFont="1" applyFill="1" applyBorder="1" applyAlignment="1">
      <alignment vertical="top" wrapText="1"/>
    </xf>
    <xf numFmtId="171" fontId="47" fillId="2" borderId="0" xfId="19" applyNumberFormat="1" applyFont="1" applyFill="1" applyBorder="1" applyAlignment="1">
      <alignment horizontal="right" vertical="top" wrapText="1"/>
    </xf>
    <xf numFmtId="0" fontId="46" fillId="2" borderId="33" xfId="0" applyFont="1" applyFill="1" applyBorder="1" applyAlignment="1">
      <alignment horizontal="center" vertical="top" wrapText="1"/>
    </xf>
    <xf numFmtId="0" fontId="10" fillId="0" borderId="0" xfId="0" applyFont="1" applyAlignment="1">
      <alignment/>
    </xf>
    <xf numFmtId="0" fontId="46" fillId="2" borderId="34" xfId="0" applyFont="1" applyFill="1" applyBorder="1" applyAlignment="1">
      <alignment horizontal="center" vertical="top" wrapText="1"/>
    </xf>
    <xf numFmtId="0" fontId="46" fillId="2" borderId="35" xfId="0" applyFont="1" applyFill="1" applyBorder="1" applyAlignment="1">
      <alignment horizontal="center" vertical="top" wrapText="1"/>
    </xf>
    <xf numFmtId="0" fontId="10" fillId="2" borderId="35" xfId="0" applyFont="1" applyFill="1" applyBorder="1" applyAlignment="1">
      <alignment vertical="top" wrapText="1"/>
    </xf>
    <xf numFmtId="0" fontId="10" fillId="2" borderId="36" xfId="0" applyFont="1" applyFill="1" applyBorder="1" applyAlignment="1">
      <alignment vertical="top" wrapText="1"/>
    </xf>
    <xf numFmtId="0" fontId="10" fillId="2" borderId="36" xfId="0" applyFont="1" applyFill="1" applyBorder="1" applyAlignment="1">
      <alignment horizontal="right" vertical="top" wrapText="1"/>
    </xf>
    <xf numFmtId="0" fontId="46" fillId="2" borderId="36" xfId="0" applyFont="1" applyFill="1" applyBorder="1" applyAlignment="1">
      <alignment vertical="top" wrapText="1"/>
    </xf>
    <xf numFmtId="0" fontId="46" fillId="2" borderId="36" xfId="0" applyFont="1" applyFill="1" applyBorder="1" applyAlignment="1">
      <alignment horizontal="right" vertical="top" wrapText="1"/>
    </xf>
    <xf numFmtId="0" fontId="47" fillId="2" borderId="33" xfId="0" applyFont="1" applyFill="1" applyBorder="1" applyAlignment="1">
      <alignment vertical="top" wrapText="1"/>
    </xf>
    <xf numFmtId="0" fontId="47" fillId="2" borderId="35" xfId="0" applyFont="1" applyFill="1" applyBorder="1" applyAlignment="1">
      <alignment vertical="top" wrapText="1"/>
    </xf>
    <xf numFmtId="43" fontId="0" fillId="0" borderId="0" xfId="19" applyAlignment="1">
      <alignment/>
    </xf>
    <xf numFmtId="43" fontId="0" fillId="0" borderId="0" xfId="19" applyFont="1" applyAlignment="1">
      <alignment/>
    </xf>
    <xf numFmtId="165" fontId="3" fillId="0" borderId="0" xfId="0" applyNumberFormat="1" applyFont="1" applyAlignment="1">
      <alignment horizontal="center" vertical="center" textRotation="90"/>
    </xf>
    <xf numFmtId="165" fontId="2" fillId="0" borderId="0" xfId="0" applyNumberFormat="1" applyFont="1" applyFill="1" applyAlignment="1">
      <alignment horizontal="left"/>
    </xf>
    <xf numFmtId="3" fontId="50" fillId="0" borderId="0" xfId="28" applyNumberFormat="1" applyFont="1" applyFill="1" applyBorder="1">
      <alignment/>
      <protection/>
    </xf>
    <xf numFmtId="3" fontId="50" fillId="0" borderId="0" xfId="28" applyNumberFormat="1" applyFont="1" applyFill="1">
      <alignment/>
      <protection/>
    </xf>
    <xf numFmtId="0" fontId="50" fillId="0" borderId="0" xfId="28" applyFont="1">
      <alignment/>
      <protection/>
    </xf>
    <xf numFmtId="0" fontId="50" fillId="0" borderId="0" xfId="0" applyFont="1" applyFill="1" applyAlignment="1">
      <alignment/>
    </xf>
    <xf numFmtId="0" fontId="51" fillId="0" borderId="0" xfId="28" applyFont="1">
      <alignment/>
      <protection/>
    </xf>
    <xf numFmtId="0" fontId="51" fillId="0" borderId="0" xfId="0" applyFont="1" applyFill="1" applyAlignment="1">
      <alignment/>
    </xf>
    <xf numFmtId="0" fontId="50" fillId="0" borderId="0" xfId="28" applyNumberFormat="1" applyFont="1" applyFill="1">
      <alignment/>
      <protection/>
    </xf>
    <xf numFmtId="186" fontId="50" fillId="0" borderId="0" xfId="28" applyNumberFormat="1" applyFont="1" applyFill="1">
      <alignment/>
      <protection/>
    </xf>
    <xf numFmtId="186" fontId="51" fillId="0" borderId="0" xfId="28" applyNumberFormat="1" applyFont="1" applyFill="1" applyBorder="1">
      <alignment/>
      <protection/>
    </xf>
    <xf numFmtId="186" fontId="50" fillId="0" borderId="0" xfId="28" applyNumberFormat="1" applyFont="1" applyFill="1" applyAlignment="1">
      <alignment horizontal="right"/>
      <protection/>
    </xf>
    <xf numFmtId="186" fontId="50" fillId="0" borderId="0" xfId="0" applyNumberFormat="1" applyFont="1" applyFill="1" applyAlignment="1">
      <alignment/>
    </xf>
    <xf numFmtId="186" fontId="50" fillId="0" borderId="0" xfId="28" applyNumberFormat="1" applyFont="1" applyFill="1" applyBorder="1">
      <alignment/>
      <protection/>
    </xf>
    <xf numFmtId="186" fontId="51" fillId="0" borderId="0" xfId="28" applyNumberFormat="1" applyFont="1" applyFill="1">
      <alignment/>
      <protection/>
    </xf>
    <xf numFmtId="172" fontId="3" fillId="0" borderId="0" xfId="0" applyNumberFormat="1" applyFont="1" applyAlignment="1">
      <alignment/>
    </xf>
    <xf numFmtId="9" fontId="0" fillId="0" borderId="0" xfId="30" applyAlignment="1">
      <alignment/>
    </xf>
    <xf numFmtId="0" fontId="55" fillId="0" borderId="0" xfId="0" applyFont="1" applyAlignment="1">
      <alignment/>
    </xf>
    <xf numFmtId="3" fontId="55" fillId="0" borderId="0" xfId="28" applyNumberFormat="1" applyFont="1" applyFill="1" applyAlignment="1" quotePrefix="1">
      <alignment horizontal="left"/>
      <protection/>
    </xf>
    <xf numFmtId="3" fontId="54" fillId="0" borderId="0" xfId="28" applyNumberFormat="1" applyFont="1" applyFill="1">
      <alignment/>
      <protection/>
    </xf>
    <xf numFmtId="0" fontId="0" fillId="0" borderId="0" xfId="28" applyNumberFormat="1" applyFont="1" applyFill="1" applyAlignment="1">
      <alignment horizontal="left" vertical="center"/>
      <protection/>
    </xf>
    <xf numFmtId="0" fontId="58" fillId="0" borderId="0" xfId="28" applyNumberFormat="1" applyFont="1" applyFill="1" applyAlignment="1">
      <alignment horizontal="left" vertical="center"/>
      <protection/>
    </xf>
    <xf numFmtId="3" fontId="51" fillId="0" borderId="14" xfId="28" applyNumberFormat="1" applyFont="1" applyFill="1" applyBorder="1">
      <alignment/>
      <protection/>
    </xf>
    <xf numFmtId="0" fontId="0" fillId="0" borderId="14" xfId="28" applyNumberFormat="1" applyFont="1" applyFill="1" applyBorder="1" applyAlignment="1">
      <alignment horizontal="left" vertical="center"/>
      <protection/>
    </xf>
    <xf numFmtId="0" fontId="50" fillId="0" borderId="14" xfId="28" applyFont="1" applyBorder="1">
      <alignment/>
      <protection/>
    </xf>
    <xf numFmtId="0" fontId="50" fillId="0" borderId="14" xfId="28" applyNumberFormat="1" applyFont="1" applyFill="1" applyBorder="1" applyAlignment="1" quotePrefix="1">
      <alignment horizontal="right"/>
      <protection/>
    </xf>
    <xf numFmtId="3" fontId="51" fillId="0" borderId="0" xfId="28" applyNumberFormat="1" applyFont="1" applyFill="1" applyBorder="1">
      <alignment/>
      <protection/>
    </xf>
    <xf numFmtId="0" fontId="0" fillId="0" borderId="0" xfId="28" applyNumberFormat="1" applyFont="1" applyFill="1" applyBorder="1" applyAlignment="1">
      <alignment horizontal="left" vertical="center"/>
      <protection/>
    </xf>
    <xf numFmtId="0" fontId="50" fillId="0" borderId="0" xfId="0" applyFont="1" applyAlignment="1">
      <alignment/>
    </xf>
    <xf numFmtId="0" fontId="0" fillId="0" borderId="0" xfId="0" applyFont="1" applyAlignment="1">
      <alignment horizontal="left"/>
    </xf>
    <xf numFmtId="0" fontId="0" fillId="0" borderId="0" xfId="28" applyFont="1" applyAlignment="1">
      <alignment horizontal="left"/>
      <protection/>
    </xf>
    <xf numFmtId="0" fontId="12" fillId="0" borderId="0" xfId="28" applyNumberFormat="1" applyFont="1" applyFill="1" applyBorder="1" applyAlignment="1">
      <alignment horizontal="left" vertical="center"/>
      <protection/>
    </xf>
    <xf numFmtId="3" fontId="59" fillId="0" borderId="0" xfId="28" applyNumberFormat="1" applyFont="1" applyFill="1" applyBorder="1">
      <alignment/>
      <protection/>
    </xf>
    <xf numFmtId="0" fontId="52" fillId="0" borderId="0" xfId="28" applyNumberFormat="1" applyFont="1" applyFill="1" applyBorder="1" applyAlignment="1">
      <alignment horizontal="left" vertical="center"/>
      <protection/>
    </xf>
    <xf numFmtId="0" fontId="59" fillId="0" borderId="0" xfId="28" applyFont="1">
      <alignment/>
      <protection/>
    </xf>
    <xf numFmtId="0" fontId="51" fillId="0" borderId="0" xfId="0" applyFont="1" applyAlignment="1">
      <alignment/>
    </xf>
    <xf numFmtId="0" fontId="50" fillId="0" borderId="0" xfId="0" applyFont="1" applyAlignment="1">
      <alignment horizontal="left"/>
    </xf>
    <xf numFmtId="4" fontId="51" fillId="0" borderId="0" xfId="34" applyFont="1" applyFill="1" applyBorder="1" applyAlignment="1">
      <alignment vertical="center"/>
      <protection/>
    </xf>
    <xf numFmtId="0" fontId="50" fillId="0" borderId="0" xfId="28" applyFont="1" applyFill="1" applyBorder="1">
      <alignment/>
      <protection/>
    </xf>
    <xf numFmtId="0" fontId="50" fillId="0" borderId="0" xfId="0" applyFont="1" applyFill="1" applyBorder="1" applyAlignment="1">
      <alignment horizontal="left"/>
    </xf>
    <xf numFmtId="186" fontId="51" fillId="0" borderId="0" xfId="28" applyNumberFormat="1" applyFont="1" applyFill="1" applyAlignment="1">
      <alignment horizontal="right"/>
      <protection/>
    </xf>
    <xf numFmtId="0" fontId="51" fillId="0" borderId="0" xfId="0" applyFont="1" applyFill="1" applyBorder="1" applyAlignment="1">
      <alignment/>
    </xf>
    <xf numFmtId="2" fontId="50" fillId="0" borderId="0" xfId="33" applyNumberFormat="1" applyFont="1" applyFill="1" applyBorder="1" applyAlignment="1" applyProtection="1">
      <alignment vertical="center"/>
      <protection/>
    </xf>
    <xf numFmtId="0" fontId="50" fillId="0" borderId="0" xfId="0" applyFont="1" applyFill="1" applyBorder="1" applyAlignment="1">
      <alignment/>
    </xf>
    <xf numFmtId="186" fontId="51" fillId="0" borderId="0" xfId="28" applyNumberFormat="1" applyFont="1">
      <alignment/>
      <protection/>
    </xf>
    <xf numFmtId="186" fontId="50" fillId="0" borderId="0" xfId="28" applyNumberFormat="1" applyFont="1" applyBorder="1">
      <alignment/>
      <protection/>
    </xf>
    <xf numFmtId="0" fontId="0" fillId="0" borderId="0" xfId="28" applyFont="1" applyBorder="1" applyAlignment="1">
      <alignment horizontal="left"/>
      <protection/>
    </xf>
    <xf numFmtId="187" fontId="50" fillId="0" borderId="0" xfId="0" applyNumberFormat="1" applyFont="1" applyBorder="1" applyAlignment="1">
      <alignment/>
    </xf>
    <xf numFmtId="165" fontId="50" fillId="0" borderId="0" xfId="0" applyNumberFormat="1" applyFont="1" applyAlignment="1">
      <alignment/>
    </xf>
    <xf numFmtId="0" fontId="60" fillId="0" borderId="0" xfId="28" applyNumberFormat="1" applyFont="1" applyFill="1">
      <alignment/>
      <protection/>
    </xf>
    <xf numFmtId="0" fontId="61" fillId="0" borderId="0" xfId="29" applyNumberFormat="1" applyFont="1" applyFill="1">
      <alignment/>
      <protection/>
    </xf>
    <xf numFmtId="0" fontId="61" fillId="0" borderId="0" xfId="28" applyNumberFormat="1" applyFont="1" applyFill="1" applyBorder="1">
      <alignment/>
      <protection/>
    </xf>
    <xf numFmtId="0" fontId="61" fillId="0" borderId="0" xfId="29" applyNumberFormat="1" applyFont="1" applyFill="1" applyBorder="1" applyAlignment="1">
      <alignment horizontal="left"/>
      <protection/>
    </xf>
    <xf numFmtId="0" fontId="61" fillId="0" borderId="0" xfId="0" applyFont="1" applyBorder="1" applyAlignment="1" quotePrefix="1">
      <alignment/>
    </xf>
    <xf numFmtId="0" fontId="61" fillId="0" borderId="0" xfId="28" applyNumberFormat="1" applyFont="1" applyFill="1" applyBorder="1" applyAlignment="1">
      <alignment horizontal="left"/>
      <protection/>
    </xf>
    <xf numFmtId="0" fontId="61" fillId="0" borderId="0" xfId="28" applyNumberFormat="1" applyFont="1" applyFill="1" applyBorder="1" applyAlignment="1" quotePrefix="1">
      <alignment horizontal="left"/>
      <protection/>
    </xf>
    <xf numFmtId="0" fontId="61" fillId="0" borderId="0" xfId="0" applyFont="1" applyBorder="1" applyAlignment="1">
      <alignment/>
    </xf>
    <xf numFmtId="0" fontId="50" fillId="0" borderId="0" xfId="28" applyFont="1" applyProtection="1">
      <alignment/>
      <protection locked="0"/>
    </xf>
    <xf numFmtId="0" fontId="50" fillId="0" borderId="0" xfId="28" applyFont="1" applyBorder="1">
      <alignment/>
      <protection/>
    </xf>
    <xf numFmtId="0" fontId="0" fillId="0" borderId="0" xfId="0" applyFont="1" applyFill="1" applyAlignment="1">
      <alignment/>
    </xf>
    <xf numFmtId="0" fontId="50" fillId="0" borderId="4" xfId="28" applyFont="1" applyBorder="1">
      <alignment/>
      <protection/>
    </xf>
    <xf numFmtId="0" fontId="50" fillId="0" borderId="7" xfId="28" applyFont="1" applyBorder="1">
      <alignment/>
      <protection/>
    </xf>
    <xf numFmtId="0" fontId="50" fillId="0" borderId="5" xfId="28" applyFont="1" applyBorder="1">
      <alignment/>
      <protection/>
    </xf>
    <xf numFmtId="186" fontId="51" fillId="0" borderId="11" xfId="28" applyNumberFormat="1" applyFont="1" applyFill="1" applyBorder="1">
      <alignment/>
      <protection/>
    </xf>
    <xf numFmtId="0" fontId="50" fillId="0" borderId="12" xfId="28" applyFont="1" applyBorder="1">
      <alignment/>
      <protection/>
    </xf>
    <xf numFmtId="167" fontId="3" fillId="0" borderId="4" xfId="21" applyNumberFormat="1" applyFont="1" applyFill="1" applyBorder="1" applyAlignment="1" applyProtection="1">
      <alignment/>
      <protection/>
    </xf>
    <xf numFmtId="171" fontId="3" fillId="0" borderId="0" xfId="19" applyNumberFormat="1" applyFont="1" applyFill="1" applyBorder="1" applyAlignment="1" applyProtection="1">
      <alignment horizontal="right"/>
      <protection/>
    </xf>
    <xf numFmtId="171" fontId="3" fillId="0" borderId="7" xfId="19" applyNumberFormat="1" applyFont="1" applyFill="1" applyBorder="1" applyAlignment="1" applyProtection="1">
      <alignment horizontal="right"/>
      <protection/>
    </xf>
    <xf numFmtId="171" fontId="3" fillId="0" borderId="14" xfId="19" applyNumberFormat="1" applyFont="1" applyFill="1" applyBorder="1" applyAlignment="1" applyProtection="1">
      <alignment horizontal="right"/>
      <protection/>
    </xf>
    <xf numFmtId="43" fontId="3" fillId="0" borderId="9" xfId="19" applyNumberFormat="1" applyFont="1" applyFill="1" applyBorder="1" applyAlignment="1" applyProtection="1">
      <alignment horizontal="right"/>
      <protection/>
    </xf>
    <xf numFmtId="43" fontId="3" fillId="0" borderId="5" xfId="19" applyNumberFormat="1" applyFont="1" applyFill="1" applyBorder="1" applyAlignment="1" applyProtection="1">
      <alignment horizontal="right"/>
      <protection/>
    </xf>
    <xf numFmtId="43" fontId="3" fillId="0" borderId="12" xfId="19" applyNumberFormat="1" applyFont="1" applyFill="1" applyBorder="1" applyAlignment="1" applyProtection="1">
      <alignment horizontal="right"/>
      <protection/>
    </xf>
    <xf numFmtId="0" fontId="2" fillId="0" borderId="7" xfId="0" applyFont="1" applyBorder="1" applyAlignment="1">
      <alignment horizontal="right" wrapText="1"/>
    </xf>
    <xf numFmtId="0" fontId="2" fillId="0" borderId="5" xfId="0" applyFont="1" applyBorder="1" applyAlignment="1">
      <alignment horizontal="right" wrapText="1"/>
    </xf>
    <xf numFmtId="0" fontId="5" fillId="2" borderId="0" xfId="0" applyFont="1" applyFill="1" applyAlignment="1">
      <alignment horizontal="right"/>
    </xf>
    <xf numFmtId="0" fontId="2" fillId="2" borderId="0" xfId="0" applyFont="1" applyFill="1" applyAlignment="1">
      <alignment/>
    </xf>
    <xf numFmtId="0" fontId="4" fillId="2" borderId="0" xfId="0" applyFont="1" applyFill="1" applyAlignment="1">
      <alignment/>
    </xf>
    <xf numFmtId="0" fontId="19" fillId="2" borderId="0" xfId="0" applyFont="1" applyFill="1" applyAlignment="1">
      <alignment/>
    </xf>
    <xf numFmtId="165" fontId="4" fillId="2" borderId="0" xfId="0" applyNumberFormat="1" applyFont="1" applyFill="1" applyAlignment="1">
      <alignment horizontal="left"/>
    </xf>
    <xf numFmtId="0" fontId="6" fillId="2" borderId="0" xfId="0" applyFont="1" applyFill="1" applyAlignment="1">
      <alignment/>
    </xf>
    <xf numFmtId="165" fontId="49" fillId="2" borderId="0" xfId="0" applyNumberFormat="1" applyFont="1" applyFill="1" applyAlignment="1">
      <alignment horizontal="left"/>
    </xf>
    <xf numFmtId="0" fontId="0" fillId="2" borderId="0" xfId="0" applyFont="1" applyFill="1" applyAlignment="1">
      <alignment horizontal="right"/>
    </xf>
    <xf numFmtId="165" fontId="2" fillId="2" borderId="0" xfId="0" applyNumberFormat="1" applyFont="1" applyFill="1" applyAlignment="1">
      <alignment horizontal="left"/>
    </xf>
    <xf numFmtId="165" fontId="3" fillId="2" borderId="0" xfId="0" applyNumberFormat="1" applyFont="1" applyFill="1" applyBorder="1" applyAlignment="1">
      <alignment horizontal="left"/>
    </xf>
    <xf numFmtId="0" fontId="2" fillId="2" borderId="0" xfId="0" applyFont="1" applyFill="1" applyAlignment="1">
      <alignment horizontal="left"/>
    </xf>
    <xf numFmtId="0" fontId="3" fillId="2" borderId="0" xfId="0" applyFont="1" applyFill="1" applyAlignment="1">
      <alignment horizontal="left"/>
    </xf>
    <xf numFmtId="0" fontId="4" fillId="2" borderId="0" xfId="0" applyFont="1" applyFill="1" applyAlignment="1">
      <alignment horizontal="left"/>
    </xf>
    <xf numFmtId="0" fontId="45" fillId="2" borderId="0" xfId="0" applyFont="1" applyFill="1" applyAlignment="1">
      <alignment horizontal="center"/>
    </xf>
    <xf numFmtId="0" fontId="0" fillId="2" borderId="0" xfId="0" applyFont="1" applyFill="1" applyAlignment="1">
      <alignment/>
    </xf>
    <xf numFmtId="1" fontId="4" fillId="2" borderId="0" xfId="0" applyNumberFormat="1" applyFont="1" applyFill="1" applyAlignment="1">
      <alignment horizontal="left"/>
    </xf>
    <xf numFmtId="171" fontId="3" fillId="0" borderId="1" xfId="19" applyNumberFormat="1" applyFont="1" applyFill="1" applyBorder="1" applyAlignment="1" applyProtection="1">
      <alignment horizontal="right"/>
      <protection/>
    </xf>
    <xf numFmtId="43" fontId="3" fillId="0" borderId="16" xfId="19" applyNumberFormat="1" applyFont="1" applyFill="1" applyBorder="1" applyAlignment="1" applyProtection="1">
      <alignment horizontal="right"/>
      <protection/>
    </xf>
    <xf numFmtId="1" fontId="2" fillId="0" borderId="0" xfId="0" applyNumberFormat="1" applyFont="1" applyFill="1" applyBorder="1" applyAlignment="1">
      <alignment horizontal="center"/>
    </xf>
    <xf numFmtId="43" fontId="2" fillId="0" borderId="0" xfId="19" applyFont="1" applyFill="1" applyBorder="1" applyAlignment="1">
      <alignment horizontal="center"/>
    </xf>
    <xf numFmtId="2" fontId="2" fillId="0" borderId="0" xfId="0" applyNumberFormat="1" applyFont="1" applyFill="1" applyBorder="1" applyAlignment="1">
      <alignment horizontal="center"/>
    </xf>
    <xf numFmtId="165" fontId="4" fillId="0" borderId="0" xfId="0" applyNumberFormat="1" applyFont="1" applyAlignment="1">
      <alignment horizontal="left"/>
    </xf>
    <xf numFmtId="43" fontId="3" fillId="0" borderId="15" xfId="19" applyFont="1" applyBorder="1" applyAlignment="1">
      <alignment/>
    </xf>
    <xf numFmtId="0" fontId="43" fillId="2" borderId="0" xfId="0" applyFont="1" applyFill="1" applyAlignment="1">
      <alignment horizontal="center"/>
    </xf>
    <xf numFmtId="0" fontId="42" fillId="2" borderId="0" xfId="0" applyFont="1" applyFill="1" applyAlignment="1">
      <alignment horizontal="center"/>
    </xf>
    <xf numFmtId="0" fontId="42" fillId="2" borderId="0" xfId="0" applyFont="1" applyFill="1" applyAlignment="1">
      <alignment horizontal="center" vertical="justify"/>
    </xf>
    <xf numFmtId="0" fontId="41" fillId="2" borderId="0" xfId="0" applyFont="1" applyFill="1" applyAlignment="1">
      <alignment horizontal="left"/>
    </xf>
    <xf numFmtId="1" fontId="51" fillId="2" borderId="0" xfId="0" applyNumberFormat="1" applyFont="1" applyFill="1" applyBorder="1" applyAlignment="1">
      <alignment horizontal="right"/>
    </xf>
    <xf numFmtId="0" fontId="43" fillId="2" borderId="0" xfId="0" applyFont="1" applyFill="1" applyAlignment="1">
      <alignment horizontal="left"/>
    </xf>
    <xf numFmtId="0" fontId="2" fillId="2" borderId="0" xfId="0" applyFont="1" applyFill="1" applyBorder="1" applyAlignment="1">
      <alignment horizontal="left"/>
    </xf>
    <xf numFmtId="0" fontId="3" fillId="2" borderId="0" xfId="0" applyFont="1" applyFill="1" applyBorder="1" applyAlignment="1">
      <alignment horizontal="left"/>
    </xf>
    <xf numFmtId="43" fontId="52" fillId="2" borderId="0" xfId="0" applyNumberFormat="1" applyFont="1" applyFill="1" applyAlignment="1">
      <alignment horizontal="right"/>
    </xf>
    <xf numFmtId="9" fontId="7" fillId="2" borderId="0" xfId="30" applyNumberFormat="1" applyFont="1" applyFill="1" applyAlignment="1">
      <alignment horizontal="right"/>
    </xf>
    <xf numFmtId="185" fontId="7" fillId="2" borderId="0" xfId="30" applyNumberFormat="1" applyFont="1" applyFill="1" applyAlignment="1">
      <alignment horizontal="right"/>
    </xf>
    <xf numFmtId="9" fontId="7" fillId="2" borderId="0" xfId="0" applyNumberFormat="1" applyFont="1" applyFill="1" applyAlignment="1">
      <alignment horizontal="right"/>
    </xf>
    <xf numFmtId="0" fontId="43" fillId="2" borderId="0" xfId="0" applyFont="1" applyFill="1" applyBorder="1" applyAlignment="1">
      <alignment horizontal="center"/>
    </xf>
    <xf numFmtId="0" fontId="3" fillId="2" borderId="0" xfId="0" applyFont="1" applyFill="1" applyAlignment="1">
      <alignment horizontal="right"/>
    </xf>
    <xf numFmtId="43" fontId="3" fillId="2" borderId="0" xfId="0" applyNumberFormat="1" applyFont="1" applyFill="1" applyAlignment="1">
      <alignment horizontal="right"/>
    </xf>
    <xf numFmtId="165" fontId="2" fillId="2" borderId="31" xfId="0" applyNumberFormat="1" applyFont="1" applyFill="1" applyBorder="1" applyAlignment="1">
      <alignment horizontal="left"/>
    </xf>
    <xf numFmtId="0" fontId="0" fillId="2" borderId="31" xfId="0" applyFill="1" applyBorder="1" applyAlignment="1">
      <alignment/>
    </xf>
    <xf numFmtId="0" fontId="40" fillId="2" borderId="31" xfId="0" applyFont="1" applyFill="1" applyBorder="1" applyAlignment="1">
      <alignment/>
    </xf>
    <xf numFmtId="1" fontId="51" fillId="2" borderId="31" xfId="0" applyNumberFormat="1" applyFont="1" applyFill="1" applyBorder="1" applyAlignment="1">
      <alignment horizontal="right"/>
    </xf>
    <xf numFmtId="9" fontId="3" fillId="2" borderId="0" xfId="0" applyNumberFormat="1" applyFont="1" applyFill="1" applyAlignment="1">
      <alignment horizontal="left"/>
    </xf>
    <xf numFmtId="2" fontId="4" fillId="0" borderId="0" xfId="0" applyNumberFormat="1" applyFont="1" applyFill="1" applyAlignment="1">
      <alignment horizontal="center"/>
    </xf>
    <xf numFmtId="43" fontId="7" fillId="2" borderId="0" xfId="0" applyNumberFormat="1" applyFont="1" applyFill="1" applyAlignment="1">
      <alignment horizontal="right"/>
    </xf>
    <xf numFmtId="1" fontId="64" fillId="2" borderId="31" xfId="0" applyNumberFormat="1" applyFont="1" applyFill="1" applyBorder="1" applyAlignment="1">
      <alignment horizontal="right"/>
    </xf>
    <xf numFmtId="165" fontId="64" fillId="2" borderId="31" xfId="0" applyNumberFormat="1" applyFont="1" applyFill="1" applyBorder="1" applyAlignment="1">
      <alignment horizontal="right"/>
    </xf>
    <xf numFmtId="1" fontId="4" fillId="2" borderId="0" xfId="0" applyNumberFormat="1" applyFont="1" applyFill="1" applyBorder="1" applyAlignment="1">
      <alignment horizontal="right"/>
    </xf>
    <xf numFmtId="1" fontId="65" fillId="2" borderId="0" xfId="0" applyNumberFormat="1" applyFont="1" applyFill="1" applyBorder="1" applyAlignment="1">
      <alignment horizontal="right"/>
    </xf>
    <xf numFmtId="0" fontId="7" fillId="2" borderId="0" xfId="0" applyFont="1" applyFill="1" applyAlignment="1">
      <alignment horizontal="center"/>
    </xf>
    <xf numFmtId="1" fontId="64" fillId="2" borderId="0" xfId="0" applyNumberFormat="1" applyFont="1" applyFill="1" applyBorder="1" applyAlignment="1">
      <alignment horizontal="right"/>
    </xf>
    <xf numFmtId="165" fontId="64" fillId="2" borderId="0" xfId="0" applyNumberFormat="1" applyFont="1" applyFill="1" applyBorder="1" applyAlignment="1">
      <alignment horizontal="right"/>
    </xf>
    <xf numFmtId="0" fontId="67" fillId="2" borderId="0" xfId="0" applyFont="1" applyFill="1" applyAlignment="1">
      <alignment horizontal="center"/>
    </xf>
    <xf numFmtId="0" fontId="7" fillId="2" borderId="0" xfId="0" applyFont="1" applyFill="1" applyAlignment="1">
      <alignment/>
    </xf>
    <xf numFmtId="0" fontId="6" fillId="2" borderId="0" xfId="0" applyFont="1" applyFill="1" applyBorder="1" applyAlignment="1">
      <alignment horizontal="left"/>
    </xf>
    <xf numFmtId="0" fontId="63" fillId="2" borderId="31" xfId="0" applyFont="1" applyFill="1" applyBorder="1" applyAlignment="1">
      <alignment horizontal="left"/>
    </xf>
    <xf numFmtId="0" fontId="63" fillId="2" borderId="0" xfId="0" applyFont="1" applyFill="1" applyBorder="1" applyAlignment="1">
      <alignment horizontal="left"/>
    </xf>
    <xf numFmtId="0" fontId="68" fillId="2" borderId="31" xfId="0" applyFont="1" applyFill="1" applyBorder="1" applyAlignment="1">
      <alignment/>
    </xf>
    <xf numFmtId="0" fontId="63" fillId="2" borderId="0" xfId="0" applyFont="1" applyFill="1" applyAlignment="1">
      <alignment horizontal="center"/>
    </xf>
    <xf numFmtId="170" fontId="51" fillId="2" borderId="31" xfId="0" applyNumberFormat="1" applyFont="1" applyFill="1" applyBorder="1" applyAlignment="1">
      <alignment horizontal="right"/>
    </xf>
    <xf numFmtId="2" fontId="3" fillId="2" borderId="0" xfId="0" applyNumberFormat="1" applyFont="1" applyFill="1" applyAlignment="1">
      <alignment horizontal="right"/>
    </xf>
    <xf numFmtId="9" fontId="3" fillId="0" borderId="0" xfId="30" applyFont="1" applyAlignment="1">
      <alignment/>
    </xf>
    <xf numFmtId="0" fontId="3" fillId="2" borderId="0" xfId="0" applyFont="1" applyFill="1" applyAlignment="1">
      <alignment/>
    </xf>
    <xf numFmtId="167" fontId="3" fillId="0" borderId="15" xfId="21" applyNumberFormat="1" applyFont="1" applyFill="1" applyBorder="1" applyAlignment="1" applyProtection="1">
      <alignment/>
      <protection/>
    </xf>
    <xf numFmtId="170" fontId="64" fillId="2" borderId="31" xfId="0" applyNumberFormat="1" applyFont="1" applyFill="1" applyBorder="1" applyAlignment="1">
      <alignment horizontal="right"/>
    </xf>
    <xf numFmtId="0" fontId="43" fillId="0" borderId="0" xfId="0" applyFont="1" applyFill="1" applyAlignment="1">
      <alignment horizontal="center"/>
    </xf>
    <xf numFmtId="0" fontId="0" fillId="0" borderId="0" xfId="0" applyFill="1" applyAlignment="1">
      <alignment/>
    </xf>
    <xf numFmtId="0" fontId="6" fillId="0" borderId="0" xfId="0" applyFont="1" applyFill="1" applyAlignment="1">
      <alignment horizontal="center"/>
    </xf>
    <xf numFmtId="0" fontId="69" fillId="0" borderId="0" xfId="0" applyFont="1" applyFill="1" applyAlignment="1">
      <alignment horizontal="center"/>
    </xf>
    <xf numFmtId="0" fontId="7" fillId="0" borderId="0" xfId="0" applyFont="1" applyFill="1" applyAlignment="1">
      <alignment/>
    </xf>
    <xf numFmtId="0" fontId="5" fillId="0" borderId="0" xfId="0" applyFont="1" applyFill="1" applyAlignment="1">
      <alignment horizontal="right"/>
    </xf>
    <xf numFmtId="0" fontId="0" fillId="0" borderId="0" xfId="0" applyFont="1" applyFill="1" applyAlignment="1">
      <alignment horizontal="right"/>
    </xf>
    <xf numFmtId="0" fontId="3" fillId="0" borderId="0" xfId="0" applyFont="1" applyFill="1" applyBorder="1" applyAlignment="1">
      <alignment horizontal="left"/>
    </xf>
    <xf numFmtId="0" fontId="6" fillId="0" borderId="0" xfId="0" applyFont="1" applyFill="1" applyBorder="1" applyAlignment="1">
      <alignment horizontal="left"/>
    </xf>
    <xf numFmtId="1" fontId="4" fillId="0" borderId="0" xfId="0" applyNumberFormat="1" applyFont="1" applyFill="1" applyBorder="1" applyAlignment="1">
      <alignment horizontal="right"/>
    </xf>
    <xf numFmtId="1" fontId="65"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center"/>
    </xf>
    <xf numFmtId="1" fontId="60" fillId="0" borderId="0" xfId="0" applyNumberFormat="1" applyFont="1" applyFill="1" applyBorder="1" applyAlignment="1">
      <alignment horizontal="right"/>
    </xf>
    <xf numFmtId="0" fontId="66" fillId="0" borderId="0" xfId="0" applyFont="1" applyFill="1" applyBorder="1" applyAlignment="1">
      <alignment/>
    </xf>
    <xf numFmtId="9" fontId="66" fillId="0" borderId="0" xfId="31" applyFont="1" applyFill="1" applyBorder="1" applyAlignment="1" applyProtection="1">
      <alignment/>
      <protection/>
    </xf>
    <xf numFmtId="9" fontId="0" fillId="0" borderId="0" xfId="31" applyFont="1" applyFill="1" applyBorder="1" applyAlignment="1" applyProtection="1">
      <alignment/>
      <protection/>
    </xf>
    <xf numFmtId="1" fontId="64" fillId="0" borderId="0" xfId="0" applyNumberFormat="1" applyFont="1" applyFill="1" applyBorder="1" applyAlignment="1">
      <alignment horizontal="right"/>
    </xf>
    <xf numFmtId="1" fontId="51" fillId="0" borderId="0" xfId="0" applyNumberFormat="1" applyFont="1" applyFill="1" applyBorder="1" applyAlignment="1">
      <alignment horizontal="right"/>
    </xf>
    <xf numFmtId="0" fontId="66" fillId="0" borderId="0" xfId="0" applyFont="1" applyFill="1" applyAlignment="1">
      <alignment/>
    </xf>
    <xf numFmtId="0" fontId="0" fillId="0" borderId="0" xfId="0" applyFill="1" applyAlignment="1">
      <alignment horizontal="right" wrapText="1"/>
    </xf>
    <xf numFmtId="0" fontId="3" fillId="0" borderId="0" xfId="0" applyFont="1" applyFill="1" applyAlignment="1">
      <alignment horizontal="right" wrapText="1"/>
    </xf>
    <xf numFmtId="0" fontId="0" fillId="0" borderId="0" xfId="0" applyFont="1" applyFill="1" applyAlignment="1">
      <alignment/>
    </xf>
    <xf numFmtId="0" fontId="4" fillId="0" borderId="0" xfId="0" applyFont="1" applyFill="1" applyAlignment="1">
      <alignment/>
    </xf>
    <xf numFmtId="9" fontId="3" fillId="0" borderId="5" xfId="0" applyNumberFormat="1" applyFont="1" applyFill="1" applyBorder="1" applyAlignment="1">
      <alignment horizontal="center"/>
    </xf>
    <xf numFmtId="9" fontId="0" fillId="0" borderId="0" xfId="31" applyFont="1" applyFill="1" applyBorder="1" applyAlignment="1" applyProtection="1">
      <alignment/>
      <protection/>
    </xf>
    <xf numFmtId="9" fontId="3" fillId="0" borderId="9" xfId="0" applyNumberFormat="1" applyFont="1" applyFill="1" applyBorder="1" applyAlignment="1">
      <alignment horizontal="center"/>
    </xf>
    <xf numFmtId="9" fontId="3" fillId="0" borderId="9" xfId="31" applyNumberFormat="1" applyFont="1" applyFill="1" applyBorder="1" applyAlignment="1" applyProtection="1">
      <alignment horizontal="center"/>
      <protection/>
    </xf>
    <xf numFmtId="9" fontId="4" fillId="0" borderId="0" xfId="30" applyFont="1" applyFill="1" applyBorder="1" applyAlignment="1">
      <alignment horizontal="right"/>
    </xf>
    <xf numFmtId="0" fontId="0" fillId="0" borderId="0" xfId="0" applyFont="1" applyFill="1" applyAlignment="1">
      <alignment/>
    </xf>
    <xf numFmtId="9" fontId="3" fillId="0" borderId="12" xfId="31" applyFont="1" applyFill="1" applyBorder="1" applyAlignment="1" applyProtection="1">
      <alignment horizontal="center"/>
      <protection/>
    </xf>
    <xf numFmtId="0" fontId="0" fillId="0" borderId="0" xfId="0" applyFont="1" applyFill="1" applyAlignment="1">
      <alignment horizontal="center"/>
    </xf>
    <xf numFmtId="0" fontId="2" fillId="0" borderId="0" xfId="0" applyFont="1" applyFill="1" applyAlignment="1">
      <alignment horizontal="left"/>
    </xf>
    <xf numFmtId="0" fontId="2" fillId="0" borderId="7" xfId="0" applyFont="1" applyFill="1" applyBorder="1" applyAlignment="1">
      <alignment horizontal="right" wrapText="1"/>
    </xf>
    <xf numFmtId="0" fontId="2" fillId="0" borderId="5" xfId="0" applyFont="1" applyFill="1" applyBorder="1" applyAlignment="1">
      <alignment horizontal="right" wrapText="1"/>
    </xf>
    <xf numFmtId="0" fontId="4" fillId="0" borderId="0" xfId="0" applyFont="1" applyFill="1" applyAlignment="1">
      <alignment horizontal="left"/>
    </xf>
    <xf numFmtId="0" fontId="42" fillId="0" borderId="0" xfId="0" applyFont="1" applyFill="1" applyAlignment="1">
      <alignment horizontal="center"/>
    </xf>
    <xf numFmtId="0" fontId="42" fillId="0" borderId="0" xfId="0" applyFont="1" applyFill="1" applyAlignment="1">
      <alignment horizontal="center" vertical="justify"/>
    </xf>
    <xf numFmtId="0" fontId="0" fillId="0" borderId="0" xfId="0" applyFont="1" applyFill="1" applyAlignment="1">
      <alignment horizontal="center" vertical="justify"/>
    </xf>
    <xf numFmtId="0" fontId="7" fillId="0" borderId="0" xfId="0" applyFont="1" applyFill="1" applyAlignment="1">
      <alignment horizontal="center" vertical="justify"/>
    </xf>
    <xf numFmtId="0" fontId="8" fillId="0" borderId="0" xfId="0" applyFont="1" applyFill="1" applyAlignment="1">
      <alignment/>
    </xf>
    <xf numFmtId="9" fontId="1" fillId="0" borderId="0" xfId="31" applyFont="1" applyFill="1" applyBorder="1" applyAlignment="1" applyProtection="1">
      <alignment horizontal="right"/>
      <protection/>
    </xf>
    <xf numFmtId="9" fontId="12" fillId="0" borderId="0" xfId="31" applyFont="1" applyFill="1" applyBorder="1" applyAlignment="1" applyProtection="1">
      <alignment horizontal="right"/>
      <protection/>
    </xf>
    <xf numFmtId="0" fontId="0" fillId="2" borderId="0" xfId="0" applyFill="1" applyAlignment="1">
      <alignment vertical="justify"/>
    </xf>
    <xf numFmtId="0" fontId="0" fillId="0" borderId="6" xfId="0" applyFont="1" applyFill="1" applyBorder="1" applyAlignment="1">
      <alignment horizontal="right"/>
    </xf>
    <xf numFmtId="0" fontId="3" fillId="0" borderId="10" xfId="0" applyFont="1" applyFill="1" applyBorder="1" applyAlignment="1">
      <alignment/>
    </xf>
    <xf numFmtId="0" fontId="0" fillId="0" borderId="13" xfId="0" applyFont="1" applyFill="1" applyBorder="1" applyAlignment="1">
      <alignment horizontal="right"/>
    </xf>
    <xf numFmtId="0" fontId="2" fillId="0" borderId="4" xfId="0" applyFont="1" applyFill="1" applyBorder="1" applyAlignment="1">
      <alignment horizontal="right"/>
    </xf>
    <xf numFmtId="0" fontId="2" fillId="0" borderId="5" xfId="0" applyFont="1" applyFill="1" applyBorder="1" applyAlignment="1">
      <alignment wrapText="1"/>
    </xf>
    <xf numFmtId="170" fontId="3" fillId="0" borderId="8" xfId="19" applyNumberFormat="1" applyFont="1" applyFill="1" applyBorder="1" applyAlignment="1">
      <alignment horizontal="right"/>
    </xf>
    <xf numFmtId="9" fontId="3" fillId="0" borderId="0" xfId="30" applyFont="1" applyFill="1" applyBorder="1" applyAlignment="1">
      <alignment horizontal="right"/>
    </xf>
    <xf numFmtId="43" fontId="3" fillId="0" borderId="0" xfId="0" applyNumberFormat="1" applyFont="1" applyFill="1" applyBorder="1" applyAlignment="1">
      <alignment horizontal="right"/>
    </xf>
    <xf numFmtId="43" fontId="3" fillId="0" borderId="9" xfId="0" applyNumberFormat="1" applyFont="1" applyFill="1" applyBorder="1" applyAlignment="1">
      <alignment horizontal="right"/>
    </xf>
    <xf numFmtId="9" fontId="7" fillId="0" borderId="0" xfId="0" applyNumberFormat="1" applyFont="1" applyFill="1" applyBorder="1" applyAlignment="1">
      <alignment horizontal="right"/>
    </xf>
    <xf numFmtId="9" fontId="0" fillId="0" borderId="0" xfId="0" applyNumberFormat="1"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wrapText="1"/>
    </xf>
    <xf numFmtId="171" fontId="3" fillId="0" borderId="0" xfId="19" applyNumberFormat="1" applyFont="1" applyFill="1" applyBorder="1" applyAlignment="1">
      <alignment horizontal="right"/>
    </xf>
    <xf numFmtId="0" fontId="5" fillId="0" borderId="14" xfId="0" applyFont="1" applyFill="1" applyBorder="1" applyAlignment="1">
      <alignment horizontal="right"/>
    </xf>
    <xf numFmtId="171" fontId="3" fillId="0" borderId="14" xfId="19" applyNumberFormat="1" applyFont="1" applyFill="1" applyBorder="1" applyAlignment="1">
      <alignment horizontal="right"/>
    </xf>
    <xf numFmtId="43" fontId="3" fillId="0" borderId="12" xfId="0" applyNumberFormat="1" applyFont="1" applyFill="1" applyBorder="1" applyAlignment="1">
      <alignment horizontal="right"/>
    </xf>
    <xf numFmtId="1" fontId="51" fillId="0" borderId="0" xfId="0" applyNumberFormat="1" applyFont="1" applyFill="1" applyBorder="1" applyAlignment="1">
      <alignment horizontal="left"/>
    </xf>
    <xf numFmtId="0" fontId="3" fillId="0" borderId="7" xfId="0" applyFont="1" applyFill="1" applyBorder="1" applyAlignment="1">
      <alignment horizontal="left"/>
    </xf>
    <xf numFmtId="0" fontId="0" fillId="0" borderId="7" xfId="0" applyFill="1" applyBorder="1" applyAlignment="1">
      <alignment/>
    </xf>
    <xf numFmtId="0" fontId="0" fillId="0" borderId="5" xfId="0" applyFill="1" applyBorder="1" applyAlignment="1">
      <alignment/>
    </xf>
    <xf numFmtId="0" fontId="3" fillId="0" borderId="14" xfId="0" applyFont="1" applyFill="1" applyBorder="1" applyAlignment="1">
      <alignment horizontal="left"/>
    </xf>
    <xf numFmtId="0" fontId="0" fillId="0" borderId="14" xfId="0" applyFill="1" applyBorder="1" applyAlignment="1">
      <alignment/>
    </xf>
    <xf numFmtId="0" fontId="0" fillId="0" borderId="12" xfId="0" applyFill="1" applyBorder="1" applyAlignment="1">
      <alignment/>
    </xf>
    <xf numFmtId="9" fontId="51" fillId="0" borderId="0" xfId="31" applyFont="1" applyFill="1" applyBorder="1" applyAlignment="1" applyProtection="1">
      <alignment/>
      <protection/>
    </xf>
    <xf numFmtId="1" fontId="70" fillId="0" borderId="0" xfId="0" applyNumberFormat="1" applyFont="1" applyFill="1" applyBorder="1" applyAlignment="1">
      <alignment horizontal="left"/>
    </xf>
    <xf numFmtId="44" fontId="63" fillId="0" borderId="0" xfId="23" applyFont="1" applyFill="1" applyBorder="1" applyAlignment="1">
      <alignment horizontal="center"/>
    </xf>
    <xf numFmtId="164" fontId="6" fillId="0" borderId="0" xfId="0" applyNumberFormat="1" applyFont="1" applyFill="1" applyBorder="1" applyAlignment="1">
      <alignment horizontal="center"/>
    </xf>
    <xf numFmtId="9" fontId="6" fillId="0" borderId="0" xfId="31" applyNumberFormat="1" applyFont="1" applyFill="1" applyBorder="1" applyAlignment="1" applyProtection="1">
      <alignment horizontal="center"/>
      <protection/>
    </xf>
    <xf numFmtId="0" fontId="63" fillId="0" borderId="0" xfId="0" applyFont="1" applyFill="1" applyBorder="1" applyAlignment="1">
      <alignment horizontal="center"/>
    </xf>
    <xf numFmtId="0" fontId="53" fillId="0" borderId="0" xfId="0" applyFont="1" applyFill="1" applyBorder="1" applyAlignment="1">
      <alignment horizontal="center"/>
    </xf>
    <xf numFmtId="0" fontId="45" fillId="0" borderId="0" xfId="0" applyFont="1" applyFill="1" applyBorder="1" applyAlignment="1">
      <alignment horizontal="center"/>
    </xf>
    <xf numFmtId="0" fontId="42" fillId="0" borderId="0" xfId="0" applyFont="1" applyFill="1" applyBorder="1" applyAlignment="1">
      <alignment horizontal="center"/>
    </xf>
    <xf numFmtId="0" fontId="0" fillId="0" borderId="0" xfId="0" applyFont="1" applyFill="1" applyBorder="1" applyAlignment="1">
      <alignment/>
    </xf>
    <xf numFmtId="0" fontId="4" fillId="2" borderId="1" xfId="0" applyFont="1" applyFill="1" applyBorder="1" applyAlignment="1">
      <alignment/>
    </xf>
    <xf numFmtId="0" fontId="53" fillId="2" borderId="1" xfId="0" applyFont="1" applyFill="1" applyBorder="1" applyAlignment="1">
      <alignment/>
    </xf>
    <xf numFmtId="0" fontId="4" fillId="2" borderId="1" xfId="0" applyFont="1" applyFill="1" applyBorder="1" applyAlignment="1">
      <alignment horizontal="right"/>
    </xf>
    <xf numFmtId="0" fontId="4" fillId="2" borderId="14" xfId="0" applyFont="1" applyFill="1" applyBorder="1" applyAlignment="1">
      <alignment/>
    </xf>
    <xf numFmtId="0" fontId="53" fillId="2" borderId="14" xfId="0" applyFont="1" applyFill="1" applyBorder="1" applyAlignment="1">
      <alignment/>
    </xf>
    <xf numFmtId="171" fontId="3" fillId="0" borderId="0" xfId="19" applyNumberFormat="1" applyFont="1" applyBorder="1" applyAlignment="1">
      <alignment/>
    </xf>
    <xf numFmtId="171" fontId="3" fillId="0" borderId="9" xfId="19" applyNumberFormat="1" applyFont="1" applyBorder="1" applyAlignment="1">
      <alignment/>
    </xf>
    <xf numFmtId="170" fontId="3" fillId="0" borderId="8" xfId="19" applyNumberFormat="1" applyFont="1" applyBorder="1" applyAlignment="1">
      <alignment/>
    </xf>
    <xf numFmtId="170" fontId="3" fillId="0" borderId="11" xfId="19" applyNumberFormat="1" applyFont="1" applyBorder="1" applyAlignment="1">
      <alignment/>
    </xf>
    <xf numFmtId="170" fontId="3" fillId="0" borderId="14" xfId="19" applyNumberFormat="1" applyFont="1" applyBorder="1" applyAlignment="1">
      <alignment/>
    </xf>
    <xf numFmtId="171" fontId="3" fillId="0" borderId="4" xfId="19" applyNumberFormat="1" applyFont="1" applyBorder="1" applyAlignment="1">
      <alignment/>
    </xf>
    <xf numFmtId="171" fontId="3" fillId="0" borderId="0" xfId="19" applyNumberFormat="1" applyFont="1" applyAlignment="1">
      <alignment/>
    </xf>
    <xf numFmtId="171" fontId="3" fillId="0" borderId="8" xfId="19" applyNumberFormat="1" applyFont="1" applyBorder="1" applyAlignment="1">
      <alignment/>
    </xf>
    <xf numFmtId="171" fontId="3" fillId="0" borderId="8" xfId="19" applyNumberFormat="1" applyFont="1" applyBorder="1" applyAlignment="1">
      <alignment horizontal="left"/>
    </xf>
    <xf numFmtId="171" fontId="3" fillId="0" borderId="9" xfId="19" applyNumberFormat="1" applyFont="1" applyFill="1" applyBorder="1" applyAlignment="1" applyProtection="1">
      <alignment/>
      <protection/>
    </xf>
    <xf numFmtId="171" fontId="3" fillId="0" borderId="11" xfId="19" applyNumberFormat="1" applyFont="1" applyBorder="1" applyAlignment="1">
      <alignment/>
    </xf>
    <xf numFmtId="171" fontId="3" fillId="0" borderId="14" xfId="19" applyNumberFormat="1" applyFont="1" applyBorder="1" applyAlignment="1">
      <alignment/>
    </xf>
    <xf numFmtId="171" fontId="3" fillId="0" borderId="12" xfId="19" applyNumberFormat="1" applyFont="1" applyBorder="1" applyAlignment="1">
      <alignment/>
    </xf>
    <xf numFmtId="0" fontId="0" fillId="0" borderId="1" xfId="0" applyFill="1" applyBorder="1" applyAlignment="1">
      <alignment/>
    </xf>
    <xf numFmtId="0" fontId="5" fillId="2" borderId="1" xfId="0" applyFont="1" applyFill="1" applyBorder="1" applyAlignment="1">
      <alignment horizontal="right"/>
    </xf>
    <xf numFmtId="43" fontId="4" fillId="2" borderId="0" xfId="0" applyNumberFormat="1" applyFont="1" applyFill="1" applyAlignment="1">
      <alignment horizontal="right"/>
    </xf>
    <xf numFmtId="43" fontId="3" fillId="2" borderId="0" xfId="19" applyNumberFormat="1" applyFont="1" applyFill="1" applyAlignment="1">
      <alignment horizontal="right"/>
    </xf>
    <xf numFmtId="43" fontId="4" fillId="2" borderId="0" xfId="19" applyNumberFormat="1" applyFont="1" applyFill="1" applyBorder="1" applyAlignment="1">
      <alignment horizontal="right"/>
    </xf>
    <xf numFmtId="43" fontId="3" fillId="2" borderId="0" xfId="0" applyNumberFormat="1" applyFont="1" applyFill="1" applyAlignment="1">
      <alignment/>
    </xf>
    <xf numFmtId="43" fontId="0" fillId="2" borderId="31" xfId="0" applyNumberFormat="1" applyFont="1" applyFill="1" applyBorder="1" applyAlignment="1">
      <alignment/>
    </xf>
    <xf numFmtId="43" fontId="2" fillId="2" borderId="0" xfId="0" applyNumberFormat="1" applyFont="1" applyFill="1" applyAlignment="1">
      <alignment horizontal="right"/>
    </xf>
    <xf numFmtId="43" fontId="3" fillId="2" borderId="0" xfId="19" applyNumberFormat="1" applyFont="1" applyFill="1" applyAlignment="1">
      <alignment horizontal="left"/>
    </xf>
    <xf numFmtId="165" fontId="3" fillId="6" borderId="0" xfId="0" applyNumberFormat="1" applyFont="1" applyFill="1" applyAlignment="1">
      <alignment horizontal="center"/>
    </xf>
    <xf numFmtId="165" fontId="3" fillId="6" borderId="0" xfId="0" applyNumberFormat="1" applyFont="1" applyFill="1" applyAlignment="1">
      <alignment horizontal="center"/>
    </xf>
    <xf numFmtId="165" fontId="4" fillId="6" borderId="0" xfId="0" applyNumberFormat="1" applyFont="1" applyFill="1" applyAlignment="1">
      <alignment horizontal="center"/>
    </xf>
    <xf numFmtId="17" fontId="0" fillId="0" borderId="0" xfId="0" applyNumberFormat="1" applyAlignment="1">
      <alignment/>
    </xf>
    <xf numFmtId="16" fontId="0" fillId="0" borderId="0" xfId="0" applyNumberFormat="1" applyAlignment="1">
      <alignment/>
    </xf>
    <xf numFmtId="43" fontId="3" fillId="2" borderId="0" xfId="19" applyNumberFormat="1" applyFont="1" applyFill="1" applyBorder="1" applyAlignment="1">
      <alignment horizontal="left"/>
    </xf>
    <xf numFmtId="172" fontId="0" fillId="0" borderId="0" xfId="0" applyNumberFormat="1" applyAlignment="1">
      <alignment/>
    </xf>
    <xf numFmtId="165" fontId="0" fillId="0" borderId="0" xfId="0" applyNumberFormat="1" applyAlignment="1">
      <alignment/>
    </xf>
    <xf numFmtId="0" fontId="71" fillId="2" borderId="0" xfId="0" applyFont="1" applyFill="1" applyAlignment="1">
      <alignment horizontal="right"/>
    </xf>
    <xf numFmtId="0" fontId="52" fillId="2" borderId="0" xfId="0" applyFont="1" applyFill="1" applyAlignment="1">
      <alignment horizontal="right"/>
    </xf>
    <xf numFmtId="9" fontId="3" fillId="0" borderId="0" xfId="0" applyNumberFormat="1" applyFont="1" applyFill="1" applyBorder="1" applyAlignment="1">
      <alignment horizontal="right"/>
    </xf>
    <xf numFmtId="0" fontId="0" fillId="0" borderId="0" xfId="0" applyFont="1" applyFill="1" applyBorder="1" applyAlignment="1">
      <alignment horizontal="right"/>
    </xf>
    <xf numFmtId="9" fontId="3" fillId="0" borderId="0" xfId="31" applyNumberFormat="1" applyFont="1" applyFill="1" applyBorder="1" applyAlignment="1" applyProtection="1">
      <alignment horizontal="right"/>
      <protection/>
    </xf>
    <xf numFmtId="0" fontId="2" fillId="0" borderId="7" xfId="0" applyFont="1" applyFill="1" applyBorder="1" applyAlignment="1">
      <alignment horizontal="right"/>
    </xf>
    <xf numFmtId="0" fontId="12" fillId="0" borderId="7" xfId="0" applyFont="1" applyFill="1" applyBorder="1" applyAlignment="1">
      <alignment/>
    </xf>
    <xf numFmtId="167" fontId="3" fillId="0" borderId="7" xfId="21" applyNumberFormat="1" applyFont="1" applyFill="1" applyBorder="1" applyAlignment="1" applyProtection="1">
      <alignment/>
      <protection/>
    </xf>
    <xf numFmtId="167" fontId="3" fillId="0" borderId="0" xfId="21" applyNumberFormat="1" applyFont="1" applyFill="1" applyBorder="1" applyAlignment="1" applyProtection="1">
      <alignment/>
      <protection/>
    </xf>
    <xf numFmtId="167" fontId="3" fillId="0" borderId="14" xfId="21" applyNumberFormat="1" applyFont="1" applyFill="1" applyBorder="1" applyAlignment="1" applyProtection="1">
      <alignment/>
      <protection/>
    </xf>
    <xf numFmtId="0" fontId="3" fillId="0" borderId="7" xfId="0" applyFont="1" applyFill="1" applyBorder="1" applyAlignment="1">
      <alignment horizontal="center"/>
    </xf>
    <xf numFmtId="9" fontId="3" fillId="0" borderId="0" xfId="0" applyNumberFormat="1" applyFont="1" applyFill="1" applyBorder="1" applyAlignment="1">
      <alignment horizontal="center"/>
    </xf>
    <xf numFmtId="9" fontId="3" fillId="0" borderId="0" xfId="31" applyNumberFormat="1" applyFont="1" applyFill="1" applyBorder="1" applyAlignment="1" applyProtection="1">
      <alignment horizontal="center"/>
      <protection/>
    </xf>
    <xf numFmtId="9" fontId="3" fillId="0" borderId="14" xfId="31" applyFont="1" applyFill="1" applyBorder="1" applyAlignment="1" applyProtection="1">
      <alignment horizontal="center"/>
      <protection/>
    </xf>
    <xf numFmtId="43" fontId="3" fillId="0" borderId="14" xfId="0" applyNumberFormat="1" applyFont="1" applyFill="1" applyBorder="1" applyAlignment="1">
      <alignment horizontal="right"/>
    </xf>
    <xf numFmtId="3" fontId="4" fillId="0" borderId="0" xfId="19" applyNumberFormat="1" applyFont="1" applyFill="1" applyBorder="1" applyAlignment="1">
      <alignment horizontal="right"/>
    </xf>
    <xf numFmtId="0" fontId="4" fillId="0" borderId="0" xfId="0" applyFont="1" applyFill="1" applyBorder="1" applyAlignment="1">
      <alignment horizontal="right"/>
    </xf>
    <xf numFmtId="3" fontId="3" fillId="0" borderId="0" xfId="19" applyNumberFormat="1" applyFont="1" applyFill="1" applyBorder="1" applyAlignment="1">
      <alignment horizontal="right"/>
    </xf>
    <xf numFmtId="0" fontId="2" fillId="0" borderId="4" xfId="0" applyFont="1" applyFill="1" applyBorder="1" applyAlignment="1">
      <alignment horizontal="right" wrapText="1"/>
    </xf>
    <xf numFmtId="0" fontId="2" fillId="0" borderId="8" xfId="0" applyFont="1" applyFill="1" applyBorder="1" applyAlignment="1">
      <alignment horizontal="right" wrapText="1"/>
    </xf>
    <xf numFmtId="0" fontId="2" fillId="0" borderId="7" xfId="0" applyFont="1" applyFill="1" applyBorder="1" applyAlignment="1">
      <alignment wrapText="1"/>
    </xf>
    <xf numFmtId="170" fontId="5" fillId="0" borderId="0" xfId="0" applyNumberFormat="1" applyFont="1" applyFill="1" applyBorder="1" applyAlignment="1">
      <alignment horizontal="right"/>
    </xf>
    <xf numFmtId="170" fontId="3" fillId="0" borderId="11" xfId="19" applyNumberFormat="1" applyFont="1" applyFill="1" applyBorder="1" applyAlignment="1">
      <alignment horizontal="right"/>
    </xf>
    <xf numFmtId="170" fontId="3" fillId="0" borderId="14" xfId="19" applyNumberFormat="1" applyFont="1" applyFill="1" applyBorder="1" applyAlignment="1">
      <alignment horizontal="right"/>
    </xf>
    <xf numFmtId="9" fontId="3" fillId="0" borderId="14" xfId="30" applyFont="1" applyFill="1" applyBorder="1" applyAlignment="1">
      <alignment horizontal="right"/>
    </xf>
    <xf numFmtId="2" fontId="0" fillId="0" borderId="0" xfId="0" applyNumberFormat="1" applyFill="1" applyAlignment="1">
      <alignment/>
    </xf>
    <xf numFmtId="0" fontId="2" fillId="0" borderId="0" xfId="0" applyFont="1" applyFill="1" applyBorder="1" applyAlignment="1">
      <alignment horizontal="center"/>
    </xf>
    <xf numFmtId="0" fontId="40" fillId="0" borderId="0" xfId="0" applyFont="1" applyFill="1" applyBorder="1" applyAlignment="1">
      <alignment horizontal="right"/>
    </xf>
    <xf numFmtId="0" fontId="3" fillId="0" borderId="0" xfId="0" applyFont="1" applyFill="1" applyAlignment="1">
      <alignment horizontal="center"/>
    </xf>
    <xf numFmtId="0" fontId="4" fillId="0" borderId="8" xfId="0" applyFont="1" applyFill="1" applyBorder="1" applyAlignment="1">
      <alignment horizontal="right"/>
    </xf>
    <xf numFmtId="0" fontId="3" fillId="0" borderId="9" xfId="0" applyFont="1" applyFill="1" applyBorder="1" applyAlignment="1">
      <alignment horizontal="right"/>
    </xf>
    <xf numFmtId="0" fontId="2" fillId="0" borderId="0" xfId="0" applyFont="1" applyBorder="1" applyAlignment="1">
      <alignment/>
    </xf>
    <xf numFmtId="43" fontId="6" fillId="0" borderId="0" xfId="0" applyNumberFormat="1" applyFont="1" applyFill="1" applyBorder="1" applyAlignment="1">
      <alignment horizontal="right"/>
    </xf>
    <xf numFmtId="0" fontId="6" fillId="0" borderId="9" xfId="0" applyFont="1" applyFill="1" applyBorder="1" applyAlignment="1">
      <alignment horizontal="right"/>
    </xf>
    <xf numFmtId="0" fontId="3" fillId="0" borderId="14" xfId="0" applyFont="1" applyBorder="1" applyAlignment="1">
      <alignment/>
    </xf>
    <xf numFmtId="0" fontId="3" fillId="0" borderId="14" xfId="0" applyFont="1" applyFill="1" applyBorder="1" applyAlignment="1">
      <alignment/>
    </xf>
    <xf numFmtId="165" fontId="2" fillId="0" borderId="14" xfId="0" applyNumberFormat="1" applyFont="1" applyFill="1" applyBorder="1" applyAlignment="1">
      <alignment horizontal="right"/>
    </xf>
    <xf numFmtId="0" fontId="3" fillId="0" borderId="12" xfId="0" applyFont="1" applyFill="1" applyBorder="1" applyAlignment="1">
      <alignment horizontal="right"/>
    </xf>
    <xf numFmtId="0" fontId="3" fillId="0" borderId="0" xfId="0" applyFont="1" applyBorder="1" applyAlignment="1">
      <alignment horizontal="center"/>
    </xf>
    <xf numFmtId="0" fontId="3" fillId="0" borderId="6" xfId="0" applyFont="1" applyBorder="1" applyAlignment="1">
      <alignment/>
    </xf>
    <xf numFmtId="0" fontId="3" fillId="0" borderId="10" xfId="0" applyFont="1" applyBorder="1" applyAlignment="1">
      <alignment/>
    </xf>
    <xf numFmtId="0" fontId="3" fillId="0" borderId="10" xfId="0" applyFont="1" applyFill="1" applyBorder="1" applyAlignment="1">
      <alignment horizontal="right"/>
    </xf>
    <xf numFmtId="0" fontId="2" fillId="0" borderId="10" xfId="0" applyFont="1" applyFill="1" applyBorder="1" applyAlignment="1">
      <alignment horizontal="right"/>
    </xf>
    <xf numFmtId="0" fontId="3" fillId="0" borderId="13" xfId="0" applyFont="1" applyFill="1" applyBorder="1" applyAlignment="1">
      <alignment horizontal="right"/>
    </xf>
    <xf numFmtId="0" fontId="3" fillId="0" borderId="1" xfId="0" applyFont="1" applyFill="1" applyBorder="1" applyAlignment="1">
      <alignment/>
    </xf>
    <xf numFmtId="0" fontId="2" fillId="0" borderId="7" xfId="0" applyFont="1" applyBorder="1" applyAlignment="1">
      <alignment horizontal="centerContinuous"/>
    </xf>
    <xf numFmtId="0" fontId="3" fillId="0" borderId="9" xfId="0" applyFont="1" applyFill="1" applyBorder="1" applyAlignment="1">
      <alignment/>
    </xf>
    <xf numFmtId="0" fontId="3" fillId="0" borderId="12" xfId="0" applyFont="1" applyFill="1" applyBorder="1" applyAlignment="1">
      <alignment/>
    </xf>
    <xf numFmtId="0" fontId="3" fillId="0" borderId="5" xfId="0" applyFont="1" applyFill="1" applyBorder="1" applyAlignment="1">
      <alignment horizontal="centerContinuous"/>
    </xf>
    <xf numFmtId="9" fontId="3" fillId="0" borderId="16" xfId="30" applyFont="1" applyFill="1" applyBorder="1" applyAlignment="1">
      <alignment/>
    </xf>
    <xf numFmtId="0" fontId="6" fillId="2" borderId="0" xfId="0" applyNumberFormat="1" applyFont="1" applyFill="1" applyAlignment="1">
      <alignment horizontal="right"/>
    </xf>
    <xf numFmtId="171" fontId="3" fillId="0" borderId="8" xfId="19" applyNumberFormat="1" applyFont="1" applyFill="1" applyBorder="1" applyAlignment="1">
      <alignment horizontal="right"/>
    </xf>
    <xf numFmtId="43" fontId="3" fillId="0" borderId="8" xfId="0" applyNumberFormat="1" applyFont="1" applyFill="1" applyBorder="1" applyAlignment="1">
      <alignment horizontal="right"/>
    </xf>
    <xf numFmtId="165" fontId="2" fillId="0" borderId="11" xfId="0" applyNumberFormat="1" applyFont="1" applyFill="1" applyBorder="1" applyAlignment="1">
      <alignment horizontal="right"/>
    </xf>
    <xf numFmtId="9" fontId="3" fillId="0" borderId="0" xfId="0" applyNumberFormat="1" applyFont="1" applyFill="1" applyBorder="1" applyAlignment="1">
      <alignment/>
    </xf>
    <xf numFmtId="0" fontId="3" fillId="0" borderId="8" xfId="0" applyFont="1" applyFill="1" applyBorder="1" applyAlignment="1">
      <alignment/>
    </xf>
    <xf numFmtId="0" fontId="6" fillId="0" borderId="8" xfId="0" applyFont="1" applyFill="1" applyBorder="1" applyAlignment="1">
      <alignment/>
    </xf>
    <xf numFmtId="0" fontId="3" fillId="0" borderId="11" xfId="0" applyFont="1" applyFill="1" applyBorder="1" applyAlignment="1">
      <alignment/>
    </xf>
    <xf numFmtId="0" fontId="2" fillId="0" borderId="4" xfId="0" applyFont="1" applyFill="1" applyBorder="1" applyAlignment="1">
      <alignment/>
    </xf>
    <xf numFmtId="0" fontId="69" fillId="0" borderId="0" xfId="0" applyFont="1" applyFill="1" applyBorder="1" applyAlignment="1">
      <alignment horizontal="center"/>
    </xf>
    <xf numFmtId="171" fontId="3" fillId="0" borderId="0" xfId="19" applyNumberFormat="1" applyFont="1" applyBorder="1" applyAlignment="1">
      <alignment horizontal="left"/>
    </xf>
    <xf numFmtId="171" fontId="3" fillId="0" borderId="9" xfId="19" applyNumberFormat="1" applyFont="1" applyBorder="1" applyAlignment="1">
      <alignment horizontal="left"/>
    </xf>
    <xf numFmtId="171" fontId="3" fillId="0" borderId="11" xfId="19" applyNumberFormat="1" applyFont="1" applyBorder="1" applyAlignment="1">
      <alignment horizontal="left"/>
    </xf>
    <xf numFmtId="171" fontId="3" fillId="0" borderId="14" xfId="19" applyNumberFormat="1" applyFont="1" applyBorder="1" applyAlignment="1">
      <alignment horizontal="left"/>
    </xf>
    <xf numFmtId="171" fontId="3" fillId="0" borderId="12" xfId="19" applyNumberFormat="1" applyFont="1" applyBorder="1" applyAlignment="1">
      <alignment horizontal="left"/>
    </xf>
    <xf numFmtId="170" fontId="3" fillId="0" borderId="8" xfId="19" applyNumberFormat="1" applyFont="1" applyBorder="1" applyAlignment="1">
      <alignment horizontal="left"/>
    </xf>
    <xf numFmtId="165" fontId="4" fillId="0" borderId="8" xfId="0" applyNumberFormat="1" applyFont="1" applyFill="1" applyBorder="1" applyAlignment="1">
      <alignment horizontal="left"/>
    </xf>
    <xf numFmtId="165" fontId="4" fillId="0" borderId="9" xfId="0" applyNumberFormat="1" applyFont="1" applyBorder="1" applyAlignment="1">
      <alignment horizontal="center"/>
    </xf>
    <xf numFmtId="165" fontId="4" fillId="0" borderId="11" xfId="0" applyNumberFormat="1" applyFont="1" applyFill="1" applyBorder="1" applyAlignment="1">
      <alignment horizontal="left"/>
    </xf>
    <xf numFmtId="165" fontId="4" fillId="0" borderId="12" xfId="0" applyNumberFormat="1" applyFont="1" applyBorder="1" applyAlignment="1">
      <alignment horizontal="center"/>
    </xf>
    <xf numFmtId="171" fontId="2" fillId="0" borderId="0" xfId="19" applyNumberFormat="1" applyFont="1" applyFill="1" applyBorder="1" applyAlignment="1">
      <alignment horizontal="right"/>
    </xf>
    <xf numFmtId="43" fontId="51" fillId="0" borderId="0" xfId="19" applyFont="1" applyAlignment="1">
      <alignment/>
    </xf>
    <xf numFmtId="170" fontId="51" fillId="0" borderId="0" xfId="19" applyNumberFormat="1" applyFont="1" applyAlignment="1">
      <alignment horizontal="left"/>
    </xf>
    <xf numFmtId="165" fontId="12" fillId="0" borderId="0" xfId="0" applyNumberFormat="1" applyFont="1" applyAlignment="1">
      <alignment/>
    </xf>
    <xf numFmtId="1" fontId="3" fillId="0" borderId="0" xfId="0" applyNumberFormat="1" applyFont="1" applyBorder="1" applyAlignment="1">
      <alignment horizontal="center"/>
    </xf>
    <xf numFmtId="0" fontId="41" fillId="2" borderId="0" xfId="0" applyFont="1" applyFill="1" applyAlignment="1">
      <alignment horizontal="left" vertical="justify" wrapText="1"/>
    </xf>
    <xf numFmtId="0" fontId="0" fillId="2" borderId="0" xfId="0" applyFill="1" applyAlignment="1">
      <alignment vertical="justify" wrapText="1"/>
    </xf>
    <xf numFmtId="0" fontId="2" fillId="2" borderId="31" xfId="0" applyFont="1" applyFill="1" applyBorder="1" applyAlignment="1">
      <alignment horizontal="left"/>
    </xf>
    <xf numFmtId="165" fontId="2" fillId="0" borderId="4" xfId="0" applyNumberFormat="1" applyFont="1" applyFill="1" applyBorder="1" applyAlignment="1">
      <alignment horizontal="center" vertical="top" wrapText="1"/>
    </xf>
    <xf numFmtId="165" fontId="2" fillId="0" borderId="5" xfId="0" applyNumberFormat="1" applyFont="1" applyFill="1" applyBorder="1" applyAlignment="1">
      <alignment horizontal="center" vertical="top" wrapText="1"/>
    </xf>
    <xf numFmtId="165" fontId="2" fillId="0" borderId="0" xfId="0" applyNumberFormat="1" applyFont="1" applyAlignment="1">
      <alignment horizontal="center"/>
    </xf>
    <xf numFmtId="165" fontId="3" fillId="0" borderId="0" xfId="0" applyNumberFormat="1" applyFont="1" applyAlignment="1">
      <alignment horizontal="center" vertical="center" textRotation="90"/>
    </xf>
    <xf numFmtId="165" fontId="3" fillId="0" borderId="0" xfId="0" applyNumberFormat="1" applyFont="1" applyAlignment="1">
      <alignment horizontal="center" textRotation="90" wrapText="1"/>
    </xf>
    <xf numFmtId="165" fontId="3" fillId="0" borderId="0" xfId="0" applyNumberFormat="1" applyFont="1" applyAlignment="1">
      <alignment horizontal="center" vertical="center" textRotation="90" wrapText="1"/>
    </xf>
    <xf numFmtId="171" fontId="2" fillId="0" borderId="4" xfId="19" applyNumberFormat="1" applyFont="1" applyBorder="1" applyAlignment="1">
      <alignment horizontal="center"/>
    </xf>
    <xf numFmtId="171" fontId="2" fillId="0" borderId="5" xfId="19" applyNumberFormat="1" applyFont="1" applyBorder="1" applyAlignment="1">
      <alignment horizontal="center"/>
    </xf>
    <xf numFmtId="171" fontId="2" fillId="0" borderId="7" xfId="19" applyNumberFormat="1" applyFont="1" applyBorder="1" applyAlignment="1">
      <alignment horizontal="center"/>
    </xf>
    <xf numFmtId="0" fontId="3" fillId="2" borderId="21" xfId="0" applyFont="1" applyFill="1" applyBorder="1" applyAlignment="1">
      <alignment horizontal="center"/>
    </xf>
    <xf numFmtId="0" fontId="13" fillId="2" borderId="37" xfId="0" applyFont="1" applyFill="1" applyBorder="1" applyAlignment="1">
      <alignment horizontal="center"/>
    </xf>
    <xf numFmtId="0" fontId="0" fillId="0" borderId="0" xfId="0" applyAlignment="1">
      <alignment horizontal="center"/>
    </xf>
    <xf numFmtId="171" fontId="26" fillId="0" borderId="0" xfId="19" applyNumberFormat="1" applyFont="1" applyFill="1" applyAlignment="1">
      <alignment horizontal="center" wrapText="1"/>
    </xf>
    <xf numFmtId="0" fontId="47" fillId="2" borderId="33" xfId="0" applyFont="1" applyFill="1" applyBorder="1" applyAlignment="1">
      <alignment horizontal="right" vertical="top" wrapText="1"/>
    </xf>
    <xf numFmtId="0" fontId="47" fillId="2" borderId="35" xfId="0" applyFont="1" applyFill="1" applyBorder="1" applyAlignment="1">
      <alignment horizontal="right" vertical="top" wrapText="1"/>
    </xf>
    <xf numFmtId="0" fontId="46" fillId="2" borderId="33" xfId="0" applyFont="1" applyFill="1" applyBorder="1" applyAlignment="1">
      <alignment horizontal="center" vertical="top" wrapText="1"/>
    </xf>
    <xf numFmtId="0" fontId="46" fillId="2" borderId="34" xfId="0" applyFont="1" applyFill="1" applyBorder="1" applyAlignment="1">
      <alignment horizontal="center" vertical="top" wrapText="1"/>
    </xf>
    <xf numFmtId="0" fontId="46" fillId="2" borderId="35" xfId="0" applyFont="1" applyFill="1" applyBorder="1" applyAlignment="1">
      <alignment horizontal="center" vertical="top" wrapText="1"/>
    </xf>
    <xf numFmtId="0" fontId="46" fillId="2" borderId="33" xfId="0" applyFont="1" applyFill="1" applyBorder="1" applyAlignment="1">
      <alignment vertical="top" wrapText="1"/>
    </xf>
    <xf numFmtId="0" fontId="46" fillId="2" borderId="34" xfId="0" applyFont="1" applyFill="1" applyBorder="1" applyAlignment="1">
      <alignment vertical="top" wrapText="1"/>
    </xf>
    <xf numFmtId="0" fontId="46" fillId="2" borderId="35" xfId="0" applyFont="1" applyFill="1" applyBorder="1" applyAlignment="1">
      <alignment vertical="top" wrapText="1"/>
    </xf>
    <xf numFmtId="171" fontId="46" fillId="2" borderId="33" xfId="19" applyNumberFormat="1" applyFont="1" applyFill="1" applyBorder="1" applyAlignment="1">
      <alignment horizontal="center" vertical="top" wrapText="1"/>
    </xf>
    <xf numFmtId="171" fontId="46" fillId="2" borderId="34" xfId="19" applyNumberFormat="1" applyFont="1" applyFill="1" applyBorder="1" applyAlignment="1">
      <alignment horizontal="center" vertical="top" wrapText="1"/>
    </xf>
    <xf numFmtId="171" fontId="46" fillId="2" borderId="35" xfId="19" applyNumberFormat="1" applyFont="1" applyFill="1" applyBorder="1" applyAlignment="1">
      <alignment horizontal="center" vertical="top" wrapText="1"/>
    </xf>
    <xf numFmtId="171" fontId="46" fillId="2" borderId="33" xfId="19" applyNumberFormat="1" applyFont="1" applyFill="1" applyBorder="1" applyAlignment="1">
      <alignment vertical="top" wrapText="1"/>
    </xf>
    <xf numFmtId="171" fontId="46" fillId="2" borderId="34" xfId="19" applyNumberFormat="1" applyFont="1" applyFill="1" applyBorder="1" applyAlignment="1">
      <alignment vertical="top" wrapText="1"/>
    </xf>
    <xf numFmtId="171" fontId="46" fillId="2" borderId="35" xfId="19" applyNumberFormat="1" applyFont="1" applyFill="1" applyBorder="1" applyAlignment="1">
      <alignment vertical="top" wrapText="1"/>
    </xf>
    <xf numFmtId="171" fontId="10" fillId="2" borderId="33" xfId="19" applyNumberFormat="1" applyFont="1" applyFill="1" applyBorder="1" applyAlignment="1">
      <alignment horizontal="left" vertical="top" wrapText="1"/>
    </xf>
    <xf numFmtId="171" fontId="10" fillId="2" borderId="34" xfId="19" applyNumberFormat="1" applyFont="1" applyFill="1" applyBorder="1" applyAlignment="1">
      <alignment horizontal="left" vertical="top" wrapText="1"/>
    </xf>
    <xf numFmtId="171" fontId="10" fillId="2" borderId="35" xfId="19" applyNumberFormat="1" applyFont="1" applyFill="1" applyBorder="1" applyAlignment="1">
      <alignment horizontal="left" vertical="top" wrapText="1"/>
    </xf>
  </cellXfs>
  <cellStyles count="21">
    <cellStyle name="Normal" xfId="0"/>
    <cellStyle name="01_Page Heading" xfId="15"/>
    <cellStyle name="02_Rule above and below" xfId="16"/>
    <cellStyle name="03_Table Notes" xfId="17"/>
    <cellStyle name="04_Table text" xfId="18"/>
    <cellStyle name="Comma" xfId="19"/>
    <cellStyle name="Comma [0]" xfId="20"/>
    <cellStyle name="Comma_National Carbon Calculator v2" xfId="21"/>
    <cellStyle name="Comma_Source Data" xfId="22"/>
    <cellStyle name="Currency" xfId="23"/>
    <cellStyle name="Currency [0]" xfId="24"/>
    <cellStyle name="Followed Hyperlink" xfId="25"/>
    <cellStyle name="Hyperlink" xfId="26"/>
    <cellStyle name="InputCells12_BBorder_CRFReport-template" xfId="27"/>
    <cellStyle name="Normal_PNAIR06" xfId="28"/>
    <cellStyle name="Normal_PNGG03" xfId="29"/>
    <cellStyle name="Percent" xfId="30"/>
    <cellStyle name="Percent_National Carbon Calculator v2" xfId="31"/>
    <cellStyle name="Shade" xfId="32"/>
    <cellStyle name="Обычный_2++_CRFReport-template" xfId="33"/>
    <cellStyle name="Обычный_CRF2002 (1)" xfId="34"/>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png" /><Relationship Id="rId3"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143</xdr:row>
      <xdr:rowOff>66675</xdr:rowOff>
    </xdr:from>
    <xdr:to>
      <xdr:col>8</xdr:col>
      <xdr:colOff>742950</xdr:colOff>
      <xdr:row>170</xdr:row>
      <xdr:rowOff>104775</xdr:rowOff>
    </xdr:to>
    <xdr:pic>
      <xdr:nvPicPr>
        <xdr:cNvPr id="1" name="Picture 10"/>
        <xdr:cNvPicPr preferRelativeResize="1">
          <a:picLocks noChangeAspect="1"/>
        </xdr:cNvPicPr>
      </xdr:nvPicPr>
      <xdr:blipFill>
        <a:blip r:embed="rId1"/>
        <a:stretch>
          <a:fillRect/>
        </a:stretch>
      </xdr:blipFill>
      <xdr:spPr>
        <a:xfrm>
          <a:off x="276225" y="19973925"/>
          <a:ext cx="6991350" cy="3895725"/>
        </a:xfrm>
        <a:prstGeom prst="rect">
          <a:avLst/>
        </a:prstGeom>
        <a:noFill/>
        <a:ln w="9525" cmpd="sng">
          <a:noFill/>
        </a:ln>
      </xdr:spPr>
    </xdr:pic>
    <xdr:clientData/>
  </xdr:twoCellAnchor>
  <xdr:twoCellAnchor editAs="oneCell">
    <xdr:from>
      <xdr:col>1</xdr:col>
      <xdr:colOff>47625</xdr:colOff>
      <xdr:row>75</xdr:row>
      <xdr:rowOff>9525</xdr:rowOff>
    </xdr:from>
    <xdr:to>
      <xdr:col>6</xdr:col>
      <xdr:colOff>647700</xdr:colOff>
      <xdr:row>110</xdr:row>
      <xdr:rowOff>133350</xdr:rowOff>
    </xdr:to>
    <xdr:pic>
      <xdr:nvPicPr>
        <xdr:cNvPr id="2" name="Picture 14"/>
        <xdr:cNvPicPr preferRelativeResize="1">
          <a:picLocks noChangeAspect="1"/>
        </xdr:cNvPicPr>
      </xdr:nvPicPr>
      <xdr:blipFill>
        <a:blip r:embed="rId2"/>
        <a:stretch>
          <a:fillRect/>
        </a:stretch>
      </xdr:blipFill>
      <xdr:spPr>
        <a:xfrm>
          <a:off x="523875" y="10201275"/>
          <a:ext cx="5314950" cy="5124450"/>
        </a:xfrm>
        <a:prstGeom prst="rect">
          <a:avLst/>
        </a:prstGeom>
        <a:noFill/>
        <a:ln w="9525" cmpd="sng">
          <a:noFill/>
        </a:ln>
      </xdr:spPr>
    </xdr:pic>
    <xdr:clientData/>
  </xdr:twoCellAnchor>
  <xdr:twoCellAnchor editAs="oneCell">
    <xdr:from>
      <xdr:col>0</xdr:col>
      <xdr:colOff>361950</xdr:colOff>
      <xdr:row>111</xdr:row>
      <xdr:rowOff>38100</xdr:rowOff>
    </xdr:from>
    <xdr:to>
      <xdr:col>6</xdr:col>
      <xdr:colOff>400050</xdr:colOff>
      <xdr:row>142</xdr:row>
      <xdr:rowOff>114300</xdr:rowOff>
    </xdr:to>
    <xdr:pic>
      <xdr:nvPicPr>
        <xdr:cNvPr id="3" name="Picture 21"/>
        <xdr:cNvPicPr preferRelativeResize="1">
          <a:picLocks noChangeAspect="1"/>
        </xdr:cNvPicPr>
      </xdr:nvPicPr>
      <xdr:blipFill>
        <a:blip r:embed="rId3"/>
        <a:stretch>
          <a:fillRect/>
        </a:stretch>
      </xdr:blipFill>
      <xdr:spPr>
        <a:xfrm>
          <a:off x="361950" y="15373350"/>
          <a:ext cx="5238750" cy="450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95250</xdr:rowOff>
    </xdr:from>
    <xdr:to>
      <xdr:col>7</xdr:col>
      <xdr:colOff>161925</xdr:colOff>
      <xdr:row>32</xdr:row>
      <xdr:rowOff>142875</xdr:rowOff>
    </xdr:to>
    <xdr:pic>
      <xdr:nvPicPr>
        <xdr:cNvPr id="1" name="Picture 7"/>
        <xdr:cNvPicPr preferRelativeResize="1">
          <a:picLocks noChangeAspect="1"/>
        </xdr:cNvPicPr>
      </xdr:nvPicPr>
      <xdr:blipFill>
        <a:blip r:embed="rId1"/>
        <a:stretch>
          <a:fillRect/>
        </a:stretch>
      </xdr:blipFill>
      <xdr:spPr>
        <a:xfrm>
          <a:off x="2762250" y="2914650"/>
          <a:ext cx="3476625" cy="2476500"/>
        </a:xfrm>
        <a:prstGeom prst="rect">
          <a:avLst/>
        </a:prstGeom>
        <a:noFill/>
        <a:ln w="9525" cmpd="sng">
          <a:noFill/>
        </a:ln>
      </xdr:spPr>
    </xdr:pic>
    <xdr:clientData/>
  </xdr:twoCellAnchor>
  <xdr:twoCellAnchor editAs="oneCell">
    <xdr:from>
      <xdr:col>7</xdr:col>
      <xdr:colOff>285750</xdr:colOff>
      <xdr:row>18</xdr:row>
      <xdr:rowOff>85725</xdr:rowOff>
    </xdr:from>
    <xdr:to>
      <xdr:col>15</xdr:col>
      <xdr:colOff>552450</xdr:colOff>
      <xdr:row>32</xdr:row>
      <xdr:rowOff>76200</xdr:rowOff>
    </xdr:to>
    <xdr:pic>
      <xdr:nvPicPr>
        <xdr:cNvPr id="2" name="Picture 8"/>
        <xdr:cNvPicPr preferRelativeResize="1">
          <a:picLocks noChangeAspect="1"/>
        </xdr:cNvPicPr>
      </xdr:nvPicPr>
      <xdr:blipFill>
        <a:blip r:embed="rId2"/>
        <a:stretch>
          <a:fillRect/>
        </a:stretch>
      </xdr:blipFill>
      <xdr:spPr>
        <a:xfrm>
          <a:off x="6362700" y="3067050"/>
          <a:ext cx="5153025" cy="2266950"/>
        </a:xfrm>
        <a:prstGeom prst="rect">
          <a:avLst/>
        </a:prstGeom>
        <a:noFill/>
        <a:ln w="9525" cmpd="sng">
          <a:noFill/>
        </a:ln>
      </xdr:spPr>
    </xdr:pic>
    <xdr:clientData/>
  </xdr:twoCellAnchor>
  <xdr:twoCellAnchor editAs="oneCell">
    <xdr:from>
      <xdr:col>0</xdr:col>
      <xdr:colOff>85725</xdr:colOff>
      <xdr:row>17</xdr:row>
      <xdr:rowOff>95250</xdr:rowOff>
    </xdr:from>
    <xdr:to>
      <xdr:col>2</xdr:col>
      <xdr:colOff>209550</xdr:colOff>
      <xdr:row>32</xdr:row>
      <xdr:rowOff>57150</xdr:rowOff>
    </xdr:to>
    <xdr:pic>
      <xdr:nvPicPr>
        <xdr:cNvPr id="3" name="Picture 9"/>
        <xdr:cNvPicPr preferRelativeResize="1">
          <a:picLocks noChangeAspect="1"/>
        </xdr:cNvPicPr>
      </xdr:nvPicPr>
      <xdr:blipFill>
        <a:blip r:embed="rId3"/>
        <a:stretch>
          <a:fillRect/>
        </a:stretch>
      </xdr:blipFill>
      <xdr:spPr>
        <a:xfrm>
          <a:off x="85725" y="2914650"/>
          <a:ext cx="2581275" cy="2390775"/>
        </a:xfrm>
        <a:prstGeom prst="rect">
          <a:avLst/>
        </a:prstGeom>
        <a:noFill/>
        <a:ln w="9525" cmpd="sng">
          <a:noFill/>
        </a:ln>
      </xdr:spPr>
    </xdr:pic>
    <xdr:clientData/>
  </xdr:twoCellAnchor>
  <xdr:twoCellAnchor editAs="oneCell">
    <xdr:from>
      <xdr:col>16</xdr:col>
      <xdr:colOff>180975</xdr:colOff>
      <xdr:row>3</xdr:row>
      <xdr:rowOff>114300</xdr:rowOff>
    </xdr:from>
    <xdr:to>
      <xdr:col>23</xdr:col>
      <xdr:colOff>171450</xdr:colOff>
      <xdr:row>14</xdr:row>
      <xdr:rowOff>76200</xdr:rowOff>
    </xdr:to>
    <xdr:pic>
      <xdr:nvPicPr>
        <xdr:cNvPr id="4" name="Picture 10"/>
        <xdr:cNvPicPr preferRelativeResize="1">
          <a:picLocks noChangeAspect="1"/>
        </xdr:cNvPicPr>
      </xdr:nvPicPr>
      <xdr:blipFill>
        <a:blip r:embed="rId4"/>
        <a:stretch>
          <a:fillRect/>
        </a:stretch>
      </xdr:blipFill>
      <xdr:spPr>
        <a:xfrm>
          <a:off x="11753850" y="666750"/>
          <a:ext cx="4257675" cy="1743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Backup%202nd%20July\Zerocarbonnow\Energy\Land%20Area%20and%20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nd Area"/>
      <sheetName val="Carbon Intensities"/>
      <sheetName val="Carbon Wed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Contents"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B54"/>
  <sheetViews>
    <sheetView zoomScaleSheetLayoutView="100" workbookViewId="0" topLeftCell="A1">
      <selection activeCell="B1" sqref="B1"/>
    </sheetView>
  </sheetViews>
  <sheetFormatPr defaultColWidth="9.140625" defaultRowHeight="12.75"/>
  <cols>
    <col min="1" max="1" width="1.57421875" style="510" customWidth="1"/>
    <col min="2" max="2" width="20.28125" style="510" customWidth="1"/>
    <col min="3" max="3" width="55.28125" style="510" customWidth="1"/>
    <col min="4" max="4" width="9.57421875" style="513" customWidth="1"/>
    <col min="5" max="5" width="15.8515625" style="514" customWidth="1"/>
    <col min="6" max="6" width="9.421875" style="514" customWidth="1"/>
    <col min="7" max="7" width="20.7109375" style="514" customWidth="1"/>
    <col min="8" max="8" width="27.140625" style="511" customWidth="1"/>
    <col min="9" max="9" width="27.140625" style="515" customWidth="1"/>
    <col min="10" max="10" width="26.28125" style="510" customWidth="1"/>
    <col min="11" max="12" width="10.7109375" style="0" customWidth="1"/>
    <col min="13" max="13" width="10.7109375" style="515" customWidth="1"/>
    <col min="14" max="14" width="14.7109375" style="514" bestFit="1" customWidth="1"/>
    <col min="15" max="15" width="22.140625" style="514" customWidth="1"/>
    <col min="16" max="16" width="16.8515625" style="515" customWidth="1"/>
    <col min="17" max="17" width="11.421875" style="515" bestFit="1" customWidth="1"/>
    <col min="18" max="18" width="15.8515625" style="514" bestFit="1" customWidth="1"/>
    <col min="19" max="19" width="25.7109375" style="510" bestFit="1" customWidth="1"/>
    <col min="20" max="20" width="7.7109375" style="510" customWidth="1"/>
    <col min="21" max="22" width="9.140625" style="510" customWidth="1"/>
    <col min="23" max="23" width="8.8515625" style="510" customWidth="1"/>
    <col min="24" max="16384" width="9.140625" style="510" customWidth="1"/>
  </cols>
  <sheetData>
    <row r="1" spans="1:18" ht="22.5" customHeight="1">
      <c r="A1" s="159"/>
      <c r="B1" s="472" t="s">
        <v>664</v>
      </c>
      <c r="C1" s="467"/>
      <c r="D1" s="496"/>
      <c r="E1" s="479"/>
      <c r="F1" s="467"/>
      <c r="G1" s="467"/>
      <c r="H1" s="318"/>
      <c r="I1" s="681"/>
      <c r="J1" s="520"/>
      <c r="M1" s="512"/>
      <c r="N1" s="509"/>
      <c r="O1" s="509"/>
      <c r="P1" s="512"/>
      <c r="Q1" s="512"/>
      <c r="R1" s="509"/>
    </row>
    <row r="2" spans="1:10" ht="3" customHeight="1">
      <c r="A2" s="159"/>
      <c r="B2" s="159"/>
      <c r="C2" s="159"/>
      <c r="D2" s="497"/>
      <c r="E2" s="444"/>
      <c r="F2" s="444"/>
      <c r="G2" s="444"/>
      <c r="H2" s="521"/>
      <c r="I2" s="625"/>
      <c r="J2" s="520"/>
    </row>
    <row r="3" spans="1:21" s="520" customFormat="1" ht="15">
      <c r="A3" s="161"/>
      <c r="B3" s="474"/>
      <c r="C3" s="474"/>
      <c r="D3" s="498"/>
      <c r="E3" s="491" t="s">
        <v>658</v>
      </c>
      <c r="F3" s="492" t="s">
        <v>659</v>
      </c>
      <c r="G3" s="492"/>
      <c r="H3" s="521"/>
      <c r="I3" s="638"/>
      <c r="M3" s="518"/>
      <c r="N3" s="519"/>
      <c r="O3" s="519"/>
      <c r="P3" s="518"/>
      <c r="Q3" s="518"/>
      <c r="R3" s="522"/>
      <c r="S3" s="523"/>
      <c r="T3" s="524"/>
      <c r="U3" s="525"/>
    </row>
    <row r="4" spans="1:20" ht="16.5" customHeight="1" thickBot="1">
      <c r="A4" s="159"/>
      <c r="B4" s="699" t="s">
        <v>667</v>
      </c>
      <c r="C4" s="699"/>
      <c r="D4" s="499"/>
      <c r="E4" s="485">
        <f>initialfootprint</f>
        <v>9.761920558237012</v>
      </c>
      <c r="F4" s="489">
        <f>'Appendix-Exact_Calculations'!D34/ukpop</f>
        <v>9.761920558237012</v>
      </c>
      <c r="G4" s="494"/>
      <c r="H4" s="578" t="s">
        <v>661</v>
      </c>
      <c r="I4" s="649"/>
      <c r="J4" s="570" t="s">
        <v>662</v>
      </c>
      <c r="L4" s="515"/>
      <c r="M4" s="526"/>
      <c r="N4" s="526"/>
      <c r="P4" s="527"/>
      <c r="Q4" s="527"/>
      <c r="R4" s="527"/>
      <c r="S4" s="570" t="s">
        <v>663</v>
      </c>
      <c r="T4" s="528"/>
    </row>
    <row r="5" spans="1:20" ht="3" customHeight="1">
      <c r="A5" s="159"/>
      <c r="B5" s="473"/>
      <c r="C5" s="473"/>
      <c r="D5" s="500"/>
      <c r="E5" s="471"/>
      <c r="F5" s="471"/>
      <c r="G5" s="471"/>
      <c r="H5" s="579"/>
      <c r="I5" s="625"/>
      <c r="J5"/>
      <c r="L5" s="527"/>
      <c r="M5" s="529"/>
      <c r="N5" s="529"/>
      <c r="P5" s="530"/>
      <c r="Q5" s="530"/>
      <c r="S5" s="528"/>
      <c r="T5" s="528"/>
    </row>
    <row r="6" spans="1:22" ht="13.5" customHeight="1">
      <c r="A6" s="159"/>
      <c r="B6" s="445" t="s">
        <v>675</v>
      </c>
      <c r="C6" s="445"/>
      <c r="D6" s="162" t="s">
        <v>644</v>
      </c>
      <c r="E6" s="162" t="s">
        <v>674</v>
      </c>
      <c r="F6" s="444"/>
      <c r="G6" s="622"/>
      <c r="H6" s="579" t="s">
        <v>643</v>
      </c>
      <c r="J6" s="680" t="s">
        <v>736</v>
      </c>
      <c r="K6" s="556" t="s">
        <v>650</v>
      </c>
      <c r="L6" s="627" t="s">
        <v>650</v>
      </c>
      <c r="M6" s="542" t="s">
        <v>651</v>
      </c>
      <c r="N6" s="542" t="s">
        <v>652</v>
      </c>
      <c r="O6" s="627" t="s">
        <v>730</v>
      </c>
      <c r="P6" s="542" t="s">
        <v>729</v>
      </c>
      <c r="Q6" s="542" t="s">
        <v>728</v>
      </c>
      <c r="R6" s="557" t="s">
        <v>707</v>
      </c>
      <c r="S6" s="632" t="s">
        <v>626</v>
      </c>
      <c r="T6" s="533">
        <v>-2</v>
      </c>
      <c r="U6" s="525"/>
      <c r="V6" s="531"/>
    </row>
    <row r="7" spans="1:22" ht="13.5" customHeight="1">
      <c r="A7" s="159"/>
      <c r="B7" s="446" t="s">
        <v>8</v>
      </c>
      <c r="C7" s="149" t="s">
        <v>515</v>
      </c>
      <c r="D7" s="608">
        <v>0.172</v>
      </c>
      <c r="E7" s="481">
        <f>H7*D7</f>
        <v>0</v>
      </c>
      <c r="F7" s="623"/>
      <c r="G7" s="444"/>
      <c r="H7" s="521" t="b">
        <v>0</v>
      </c>
      <c r="J7" s="677" t="s">
        <v>731</v>
      </c>
      <c r="K7" s="558">
        <f>'Appendix-Exact_Calculations'!C3</f>
        <v>13.3208885371455</v>
      </c>
      <c r="L7" s="625"/>
      <c r="M7" s="559">
        <f>20%</f>
        <v>0.2</v>
      </c>
      <c r="N7" s="624">
        <f>IF(H7=TRUE,1,0)*M7</f>
        <v>0</v>
      </c>
      <c r="O7" s="676">
        <f>1-N7</f>
        <v>1</v>
      </c>
      <c r="P7" s="560">
        <f>M7*$K7</f>
        <v>2.6641777074291</v>
      </c>
      <c r="Q7" s="560">
        <f>M7*$L7</f>
        <v>0</v>
      </c>
      <c r="R7" s="561">
        <f>P7*$U$24/ukpop+Q7*$U$29/ukpop</f>
        <v>0.24732449717300148</v>
      </c>
      <c r="S7" s="318" t="s">
        <v>627</v>
      </c>
      <c r="T7" s="535">
        <v>-1</v>
      </c>
      <c r="U7" s="525"/>
      <c r="V7" s="531"/>
    </row>
    <row r="8" spans="1:22" ht="13.5" customHeight="1">
      <c r="A8" s="159"/>
      <c r="B8" s="446"/>
      <c r="C8" s="149" t="s">
        <v>715</v>
      </c>
      <c r="D8" s="608">
        <v>0.1609308704866832</v>
      </c>
      <c r="E8" s="481">
        <f>H8*D8</f>
        <v>0</v>
      </c>
      <c r="F8" s="444"/>
      <c r="G8" s="444"/>
      <c r="H8" s="580" t="b">
        <v>0</v>
      </c>
      <c r="J8" s="677" t="s">
        <v>732</v>
      </c>
      <c r="K8" s="558"/>
      <c r="L8" s="254">
        <f>'Appendix-Exact_Calculations'!$C$9</f>
        <v>48.279261146004956</v>
      </c>
      <c r="M8" s="559">
        <f>10%</f>
        <v>0.1</v>
      </c>
      <c r="N8" s="624">
        <f>IF(H8=TRUE,1,0)*M8</f>
        <v>0</v>
      </c>
      <c r="O8" s="676">
        <f>1-N8</f>
        <v>1</v>
      </c>
      <c r="P8" s="560">
        <f>M8*$K8</f>
        <v>0</v>
      </c>
      <c r="Q8" s="560">
        <f>M8*$L8</f>
        <v>4.827926114600496</v>
      </c>
      <c r="R8" s="561">
        <f>P8*$U$24/ukpop+Q8*$U$29/ukpop</f>
        <v>0.18653450416978273</v>
      </c>
      <c r="S8" s="633" t="s">
        <v>628</v>
      </c>
      <c r="T8" s="535">
        <v>-0.5</v>
      </c>
      <c r="U8" s="534"/>
      <c r="V8" s="531"/>
    </row>
    <row r="9" spans="1:22" ht="13.5" customHeight="1">
      <c r="A9" s="159"/>
      <c r="B9" s="446"/>
      <c r="C9" s="149" t="s">
        <v>504</v>
      </c>
      <c r="D9" s="608">
        <v>0.22530321868135647</v>
      </c>
      <c r="E9" s="481">
        <f>H9*D9</f>
        <v>0</v>
      </c>
      <c r="F9" s="444"/>
      <c r="G9" s="444"/>
      <c r="H9" s="580" t="b">
        <v>0</v>
      </c>
      <c r="J9" s="677" t="s">
        <v>733</v>
      </c>
      <c r="K9" s="558"/>
      <c r="L9" s="254">
        <f>'Appendix-Exact_Calculations'!$C$9</f>
        <v>48.279261146004956</v>
      </c>
      <c r="M9" s="559">
        <f>0.14</f>
        <v>0.14</v>
      </c>
      <c r="N9" s="624">
        <f>IF(H9=TRUE,1,0)*M9</f>
        <v>0</v>
      </c>
      <c r="O9" s="676">
        <f>1-N9</f>
        <v>1</v>
      </c>
      <c r="P9" s="560">
        <f>M9*$K9</f>
        <v>0</v>
      </c>
      <c r="Q9" s="560">
        <f>M9*$L9</f>
        <v>6.759096560440694</v>
      </c>
      <c r="R9" s="561">
        <f>P9*$U$24/ukpop+Q9*$U$29/ukpop</f>
        <v>0.2611483058376958</v>
      </c>
      <c r="S9" s="634">
        <v>0</v>
      </c>
      <c r="T9" s="536">
        <v>0</v>
      </c>
      <c r="U9" s="534"/>
      <c r="V9" s="531"/>
    </row>
    <row r="10" spans="1:22" ht="13.5" customHeight="1">
      <c r="A10" s="159"/>
      <c r="B10" s="447"/>
      <c r="C10" s="149" t="s">
        <v>702</v>
      </c>
      <c r="D10" s="608">
        <v>0.22</v>
      </c>
      <c r="E10" s="481">
        <f>H10*D10</f>
        <v>0</v>
      </c>
      <c r="F10" s="444"/>
      <c r="G10" s="444"/>
      <c r="H10" s="580" t="b">
        <v>0</v>
      </c>
      <c r="J10" s="677" t="s">
        <v>702</v>
      </c>
      <c r="K10" s="558"/>
      <c r="L10" s="254">
        <f>'Appendix-Exact_Calculations'!$C$9</f>
        <v>48.279261146004956</v>
      </c>
      <c r="M10" s="559">
        <f>10%</f>
        <v>0.1</v>
      </c>
      <c r="N10" s="624">
        <f>IF(H10=TRUE,1,0)*M10</f>
        <v>0</v>
      </c>
      <c r="O10" s="676">
        <f>1-N10</f>
        <v>1</v>
      </c>
      <c r="P10" s="560">
        <f>M10*$K10</f>
        <v>0</v>
      </c>
      <c r="Q10" s="560">
        <f>M10*$L10</f>
        <v>4.827926114600496</v>
      </c>
      <c r="R10" s="561">
        <f>P10*$U$24/ukpop+Q10*$U$29/ukpop</f>
        <v>0.18653450416978273</v>
      </c>
      <c r="S10" s="634" t="s">
        <v>705</v>
      </c>
      <c r="T10" s="536">
        <v>0.2</v>
      </c>
      <c r="U10" s="534"/>
      <c r="V10" s="531"/>
    </row>
    <row r="11" spans="1:22" ht="13.5" customHeight="1">
      <c r="A11" s="159"/>
      <c r="B11" s="446"/>
      <c r="C11" s="149" t="s">
        <v>703</v>
      </c>
      <c r="D11" s="608">
        <v>0.1</v>
      </c>
      <c r="E11" s="481">
        <f>H11*D11</f>
        <v>0</v>
      </c>
      <c r="F11" s="444"/>
      <c r="G11" s="444"/>
      <c r="H11" s="580" t="b">
        <v>0</v>
      </c>
      <c r="J11" s="677" t="s">
        <v>703</v>
      </c>
      <c r="K11" s="558"/>
      <c r="L11" s="254">
        <f>'Appendix-Exact_Calculations'!$C$9</f>
        <v>48.279261146004956</v>
      </c>
      <c r="M11" s="559">
        <f>1%</f>
        <v>0.01</v>
      </c>
      <c r="N11" s="624">
        <f>IF(H11=TRUE,1,0)*M11</f>
        <v>0</v>
      </c>
      <c r="O11" s="676">
        <f>1-N11</f>
        <v>1</v>
      </c>
      <c r="P11" s="560">
        <f>M11*$K11</f>
        <v>0</v>
      </c>
      <c r="Q11" s="560">
        <f>M11*$L11</f>
        <v>0.4827926114600496</v>
      </c>
      <c r="R11" s="561">
        <f>P11*$U$24/ukpop+Q11*$U$29/ukpop</f>
        <v>0.018653450416978277</v>
      </c>
      <c r="S11" s="633" t="s">
        <v>517</v>
      </c>
      <c r="T11" s="535">
        <v>0.5</v>
      </c>
      <c r="U11" s="534"/>
      <c r="V11" s="531"/>
    </row>
    <row r="12" spans="1:22" ht="9.75" customHeight="1">
      <c r="A12" s="159"/>
      <c r="B12" s="446"/>
      <c r="C12" s="149"/>
      <c r="D12" s="608"/>
      <c r="F12" s="672">
        <f>IF(N12&lt;0.0001,0,SUM(E7:E11)*SUM(N7:N11)/N12)</f>
        <v>0</v>
      </c>
      <c r="G12" s="444"/>
      <c r="H12" s="580"/>
      <c r="J12" s="677"/>
      <c r="K12" s="558"/>
      <c r="L12" s="254"/>
      <c r="M12" s="559"/>
      <c r="N12" s="624">
        <f>1-O12</f>
        <v>0</v>
      </c>
      <c r="O12" s="676">
        <f>PRODUCT(O7:O10)</f>
        <v>1</v>
      </c>
      <c r="P12" s="560"/>
      <c r="Q12" s="560"/>
      <c r="R12" s="561"/>
      <c r="S12" s="635" t="s">
        <v>706</v>
      </c>
      <c r="T12" s="539">
        <v>0.75</v>
      </c>
      <c r="U12" s="534"/>
      <c r="V12" s="531"/>
    </row>
    <row r="13" spans="1:22" ht="13.5" customHeight="1">
      <c r="A13" s="159"/>
      <c r="B13" s="446" t="s">
        <v>12</v>
      </c>
      <c r="C13" s="149" t="s">
        <v>704</v>
      </c>
      <c r="D13" s="608">
        <f>R13</f>
        <v>0.7226370777445243</v>
      </c>
      <c r="E13" s="481">
        <f>H13*D13</f>
        <v>0</v>
      </c>
      <c r="F13" s="444"/>
      <c r="G13" s="444"/>
      <c r="H13" s="580" t="b">
        <v>0</v>
      </c>
      <c r="J13" s="677" t="s">
        <v>734</v>
      </c>
      <c r="K13" s="558">
        <f>'Appendix-Exact_Calculations'!C6+'Appendix-Exact_Calculations'!C7</f>
        <v>14.023432848670408</v>
      </c>
      <c r="L13" s="254">
        <f>'Appendix-Exact_Calculations'!C12+'Appendix-Exact_Calculations'!C13</f>
        <v>28.650272258328204</v>
      </c>
      <c r="M13" s="559">
        <v>0.3</v>
      </c>
      <c r="N13" s="624">
        <f>IF(H13=TRUE,1,0)*M13</f>
        <v>0</v>
      </c>
      <c r="O13" s="564"/>
      <c r="P13" s="560">
        <f>M13*$K13</f>
        <v>4.207029854601123</v>
      </c>
      <c r="Q13" s="560">
        <f>M13*$L13</f>
        <v>8.595081677498461</v>
      </c>
      <c r="R13" s="561">
        <f>P13*$U$24/ukpop+Q13*$U$29/ukpop</f>
        <v>0.7226370777445243</v>
      </c>
      <c r="T13" s="553">
        <v>1</v>
      </c>
      <c r="U13" s="534"/>
      <c r="V13" s="531"/>
    </row>
    <row r="14" spans="1:22" ht="13.5" customHeight="1">
      <c r="A14" s="159"/>
      <c r="B14" s="446" t="s">
        <v>727</v>
      </c>
      <c r="C14" s="149" t="s">
        <v>704</v>
      </c>
      <c r="D14" s="608">
        <f>R14</f>
        <v>0.4335548712177838</v>
      </c>
      <c r="E14" s="481">
        <f>H14*D14</f>
        <v>0</v>
      </c>
      <c r="F14" s="444"/>
      <c r="G14" s="444"/>
      <c r="H14" s="580" t="b">
        <v>0</v>
      </c>
      <c r="J14" s="677" t="s">
        <v>735</v>
      </c>
      <c r="K14" s="558">
        <f>'Appendix-Exact_Calculations'!C4+'Appendix-Exact_Calculations'!C5</f>
        <v>11.042862416955263</v>
      </c>
      <c r="L14" s="254">
        <f>'Appendix-Exact_Calculations'!C10+'Appendix-Exact_Calculations'!C11</f>
        <v>10.871492444994288</v>
      </c>
      <c r="M14" s="559">
        <v>0.3</v>
      </c>
      <c r="N14" s="624">
        <f>IF(H14=TRUE,1,0)*M14</f>
        <v>0</v>
      </c>
      <c r="O14" s="564"/>
      <c r="P14" s="560">
        <f>M14*$K14</f>
        <v>3.3128587250865786</v>
      </c>
      <c r="Q14" s="560">
        <f>M14*$L14</f>
        <v>3.2614477334982865</v>
      </c>
      <c r="R14" s="561">
        <f>P14*$U$24/ukpop+Q14*$U$29/ukpop</f>
        <v>0.4335548712177838</v>
      </c>
      <c r="T14" s="554"/>
      <c r="U14" s="534"/>
      <c r="V14" s="531"/>
    </row>
    <row r="15" spans="1:22" ht="13.5" customHeight="1">
      <c r="A15" s="159"/>
      <c r="B15" s="448"/>
      <c r="C15" s="449" t="s">
        <v>16</v>
      </c>
      <c r="D15" s="609" t="s">
        <v>656</v>
      </c>
      <c r="E15" s="481"/>
      <c r="F15" s="444"/>
      <c r="G15" s="444"/>
      <c r="H15" s="521"/>
      <c r="I15" s="537"/>
      <c r="J15" s="678" t="s">
        <v>16</v>
      </c>
      <c r="K15" s="558"/>
      <c r="L15" s="254"/>
      <c r="M15" s="537"/>
      <c r="N15" s="564"/>
      <c r="O15" s="564"/>
      <c r="P15" s="560"/>
      <c r="Q15" s="560"/>
      <c r="R15" s="561"/>
      <c r="S15" s="540"/>
      <c r="T15" s="555">
        <v>2</v>
      </c>
      <c r="U15" s="534"/>
      <c r="V15" s="538"/>
    </row>
    <row r="16" spans="1:22" ht="13.5" customHeight="1">
      <c r="A16" s="159"/>
      <c r="B16" s="448" t="s">
        <v>468</v>
      </c>
      <c r="C16" s="149" t="s">
        <v>514</v>
      </c>
      <c r="D16" s="607">
        <v>0.12598438075126508</v>
      </c>
      <c r="E16" s="481">
        <f>H16*D16/(10%)</f>
        <v>0</v>
      </c>
      <c r="F16" s="444"/>
      <c r="G16" s="451"/>
      <c r="H16" s="581">
        <f ca="1">OFFSET(T8,T13,0)</f>
        <v>0</v>
      </c>
      <c r="I16" s="625"/>
      <c r="J16" s="677" t="s">
        <v>514</v>
      </c>
      <c r="K16" s="558"/>
      <c r="L16" s="254">
        <f>'Appendix-Exact_Calculations'!C15</f>
        <v>32.607548108482106</v>
      </c>
      <c r="M16" s="559">
        <v>0.1</v>
      </c>
      <c r="N16" s="559"/>
      <c r="O16" s="564"/>
      <c r="P16" s="560">
        <f>M16*$L16</f>
        <v>3.2607548108482107</v>
      </c>
      <c r="Q16" s="560"/>
      <c r="R16" s="561">
        <f>P16*$U$29/ukpop</f>
        <v>0.12598438075126508</v>
      </c>
      <c r="U16" s="534"/>
      <c r="V16" s="538"/>
    </row>
    <row r="17" spans="1:22" ht="5.25" customHeight="1">
      <c r="A17" s="159"/>
      <c r="B17" s="450"/>
      <c r="C17" s="149"/>
      <c r="D17" s="607"/>
      <c r="E17" s="481"/>
      <c r="F17" s="444"/>
      <c r="G17" s="451"/>
      <c r="H17" s="581"/>
      <c r="I17" s="625"/>
      <c r="J17" s="677"/>
      <c r="K17" s="558"/>
      <c r="L17" s="254"/>
      <c r="M17" s="559"/>
      <c r="N17" s="559"/>
      <c r="O17" s="564"/>
      <c r="P17" s="560">
        <f>M17*$L17</f>
        <v>0</v>
      </c>
      <c r="Q17" s="560"/>
      <c r="R17" s="561"/>
      <c r="U17" s="534"/>
      <c r="V17" s="538"/>
    </row>
    <row r="18" spans="1:22" ht="13.5" customHeight="1">
      <c r="A18" s="159"/>
      <c r="B18" s="448" t="s">
        <v>469</v>
      </c>
      <c r="C18" s="149" t="s">
        <v>397</v>
      </c>
      <c r="D18" s="607">
        <v>0.07100260605521498</v>
      </c>
      <c r="E18" s="481">
        <f>H18*D18/(10%)</f>
        <v>-0.7100260605521498</v>
      </c>
      <c r="F18" s="444"/>
      <c r="G18" s="451"/>
      <c r="H18" s="581">
        <f ca="1">OFFSET(T5,T15,0)</f>
        <v>-1</v>
      </c>
      <c r="I18" s="625"/>
      <c r="J18" s="679" t="s">
        <v>397</v>
      </c>
      <c r="K18" s="644"/>
      <c r="L18" s="645">
        <f>'Appendix-Exact_Calculations'!C19</f>
        <v>18.377047051126432</v>
      </c>
      <c r="M18" s="646">
        <v>0.1</v>
      </c>
      <c r="N18" s="646"/>
      <c r="O18" s="567"/>
      <c r="P18" s="636">
        <f>M18*$L18</f>
        <v>1.8377047051126434</v>
      </c>
      <c r="Q18" s="636"/>
      <c r="R18" s="569">
        <f>P18*$U$29/ukpop</f>
        <v>0.07100260605521498</v>
      </c>
      <c r="U18" s="534"/>
      <c r="V18" s="538"/>
    </row>
    <row r="19" spans="1:22" ht="7.5" customHeight="1">
      <c r="A19" s="159"/>
      <c r="B19" s="452"/>
      <c r="C19" s="149"/>
      <c r="D19" s="610"/>
      <c r="E19" s="480"/>
      <c r="F19" s="478"/>
      <c r="G19" s="478"/>
      <c r="H19" s="521"/>
      <c r="I19" s="626"/>
      <c r="J19" s="586"/>
      <c r="L19" s="563"/>
      <c r="M19" s="563"/>
      <c r="N19" s="562"/>
      <c r="O19" s="562"/>
      <c r="P19" s="563"/>
      <c r="Q19" s="563"/>
      <c r="R19" s="643"/>
      <c r="S19" s="540"/>
      <c r="T19" s="429"/>
      <c r="U19" s="534"/>
      <c r="V19" s="538"/>
    </row>
    <row r="20" spans="1:22" ht="17.25" customHeight="1" thickBot="1">
      <c r="A20" s="159"/>
      <c r="B20" s="482" t="s">
        <v>396</v>
      </c>
      <c r="C20" s="483"/>
      <c r="D20" s="611"/>
      <c r="E20" s="503">
        <f>E4-SUM(E7:E18)</f>
        <v>10.471946618789161</v>
      </c>
      <c r="F20" s="508">
        <f>'Appendix-Exact_Calculations'!F34/ukpop</f>
        <v>10.49734557027259</v>
      </c>
      <c r="G20" s="495"/>
      <c r="H20" s="582" t="s">
        <v>643</v>
      </c>
      <c r="I20" s="625"/>
      <c r="J20" s="661"/>
      <c r="K20" s="667" t="s">
        <v>710</v>
      </c>
      <c r="L20" s="667"/>
      <c r="M20" s="670"/>
      <c r="O20" s="640" t="s">
        <v>724</v>
      </c>
      <c r="P20" s="542" t="s">
        <v>649</v>
      </c>
      <c r="Q20" s="642" t="s">
        <v>709</v>
      </c>
      <c r="R20" s="557" t="s">
        <v>708</v>
      </c>
      <c r="S20" s="577" t="s">
        <v>386</v>
      </c>
      <c r="T20" s="534"/>
      <c r="U20" s="534"/>
      <c r="V20" s="538"/>
    </row>
    <row r="21" spans="1:22" ht="12.75" customHeight="1">
      <c r="A21" s="159"/>
      <c r="B21" s="453"/>
      <c r="C21" s="159"/>
      <c r="D21" s="612" t="s">
        <v>644</v>
      </c>
      <c r="E21" s="162" t="s">
        <v>674</v>
      </c>
      <c r="F21" s="478"/>
      <c r="G21" s="478"/>
      <c r="H21" s="521"/>
      <c r="J21" s="662"/>
      <c r="K21" s="660" t="s">
        <v>717</v>
      </c>
      <c r="L21" s="318" t="s">
        <v>15</v>
      </c>
      <c r="M21" s="652" t="s">
        <v>722</v>
      </c>
      <c r="O21" s="641"/>
      <c r="P21" s="565"/>
      <c r="Q21" s="565"/>
      <c r="R21" s="652"/>
      <c r="S21" s="429"/>
      <c r="T21" s="534"/>
      <c r="U21" s="534"/>
      <c r="V21" s="538"/>
    </row>
    <row r="22" spans="1:22" ht="13.5" customHeight="1">
      <c r="A22" s="159"/>
      <c r="B22" s="454" t="s">
        <v>394</v>
      </c>
      <c r="C22" s="159"/>
      <c r="D22" s="613">
        <v>-1.07036833333333</v>
      </c>
      <c r="E22" s="504">
        <v>-1.07</v>
      </c>
      <c r="F22" s="444"/>
      <c r="G22" s="486" t="s">
        <v>639</v>
      </c>
      <c r="H22" s="583"/>
      <c r="J22" s="663" t="s">
        <v>716</v>
      </c>
      <c r="K22" s="293"/>
      <c r="L22" s="566"/>
      <c r="M22" s="652"/>
      <c r="O22" s="651"/>
      <c r="P22" s="637"/>
      <c r="Q22" s="560">
        <f>-Q23</f>
        <v>-1.0434342533333334</v>
      </c>
      <c r="R22" s="561"/>
      <c r="S22" s="628" t="s">
        <v>312</v>
      </c>
      <c r="T22" s="542" t="s">
        <v>18</v>
      </c>
      <c r="U22" s="543" t="s">
        <v>108</v>
      </c>
      <c r="V22" s="538"/>
    </row>
    <row r="23" spans="1:21" ht="13.5" customHeight="1">
      <c r="A23" s="159"/>
      <c r="B23" s="446" t="s">
        <v>677</v>
      </c>
      <c r="C23" s="455" t="s">
        <v>668</v>
      </c>
      <c r="D23" s="613">
        <f>Q23</f>
        <v>1.0434342533333334</v>
      </c>
      <c r="E23" s="504">
        <f aca="true" t="shared" si="0" ref="E23:E31">H23*D23</f>
        <v>0</v>
      </c>
      <c r="F23" s="444"/>
      <c r="G23" s="459"/>
      <c r="H23" s="580" t="b">
        <v>0</v>
      </c>
      <c r="J23" s="663" t="s">
        <v>677</v>
      </c>
      <c r="K23" s="293"/>
      <c r="L23" s="566"/>
      <c r="M23" s="652"/>
      <c r="O23" s="673">
        <v>11.53</v>
      </c>
      <c r="P23" s="639">
        <f aca="true" t="shared" si="1" ref="P23:P31">O23*IF(H23,1,0)</f>
        <v>0</v>
      </c>
      <c r="Q23" s="560">
        <f>O23*($U$24-$U$23)/ukpop</f>
        <v>1.0434342533333334</v>
      </c>
      <c r="R23" s="561">
        <f>O23*$U$29/ukpop</f>
        <v>0.4454796494447939</v>
      </c>
      <c r="S23" s="629" t="s">
        <v>630</v>
      </c>
      <c r="T23" s="437">
        <v>16</v>
      </c>
      <c r="U23" s="440">
        <v>0.14016</v>
      </c>
    </row>
    <row r="24" spans="1:21" ht="13.5" customHeight="1">
      <c r="A24" s="159"/>
      <c r="B24" s="456" t="s">
        <v>3</v>
      </c>
      <c r="C24" s="455" t="s">
        <v>637</v>
      </c>
      <c r="D24" s="613">
        <f>Q24</f>
        <v>2.71492</v>
      </c>
      <c r="E24" s="504">
        <f t="shared" si="0"/>
        <v>0</v>
      </c>
      <c r="F24" s="444"/>
      <c r="G24" s="455">
        <f>IF(P24+P31+P23&gt;30,IF(P24+P31+O23&gt;70,"","(Requires trained engineers)"),"")</f>
      </c>
      <c r="H24" s="580" t="b">
        <v>0</v>
      </c>
      <c r="J24" s="663" t="s">
        <v>505</v>
      </c>
      <c r="K24" s="293"/>
      <c r="L24" s="566"/>
      <c r="M24" s="668"/>
      <c r="O24" s="673">
        <v>30</v>
      </c>
      <c r="P24" s="639">
        <f t="shared" si="1"/>
        <v>0</v>
      </c>
      <c r="Q24" s="560">
        <f>O24*($U$24-$U$23)/ukpop</f>
        <v>2.71492</v>
      </c>
      <c r="R24" s="561">
        <f>O24*$U$29/ukpop</f>
        <v>1.159097093091398</v>
      </c>
      <c r="S24" s="630" t="s">
        <v>388</v>
      </c>
      <c r="T24" s="436">
        <v>635.8447488584475</v>
      </c>
      <c r="U24" s="439">
        <v>5.57</v>
      </c>
    </row>
    <row r="25" spans="1:21" ht="13.5" customHeight="1">
      <c r="A25" s="159"/>
      <c r="B25" s="456" t="s">
        <v>676</v>
      </c>
      <c r="C25" s="455" t="s">
        <v>657</v>
      </c>
      <c r="D25" s="613">
        <f>R25</f>
        <v>0.3347313953942653</v>
      </c>
      <c r="E25" s="504">
        <f t="shared" si="0"/>
        <v>0</v>
      </c>
      <c r="F25" s="444"/>
      <c r="G25" s="476"/>
      <c r="H25" s="580" t="b">
        <v>0</v>
      </c>
      <c r="J25" s="663" t="s">
        <v>676</v>
      </c>
      <c r="K25" s="293"/>
      <c r="L25" s="566"/>
      <c r="M25" s="668"/>
      <c r="O25" s="673">
        <v>20</v>
      </c>
      <c r="P25" s="639">
        <f t="shared" si="1"/>
        <v>0</v>
      </c>
      <c r="Q25" s="560">
        <f>O25*($U$24-$U$30)/ukpop</f>
        <v>1.4186666666666667</v>
      </c>
      <c r="R25" s="561">
        <f>O25*($U$29-U30)/ukpop</f>
        <v>0.3347313953942653</v>
      </c>
      <c r="S25" s="630" t="s">
        <v>379</v>
      </c>
      <c r="T25" s="436">
        <v>472.48597779306937</v>
      </c>
      <c r="U25" s="439">
        <v>4.1389771654672876</v>
      </c>
    </row>
    <row r="26" spans="1:27" ht="13.5" customHeight="1">
      <c r="A26" s="159"/>
      <c r="B26" s="456" t="s">
        <v>2</v>
      </c>
      <c r="C26" s="455" t="s">
        <v>393</v>
      </c>
      <c r="D26" s="613">
        <f>R26</f>
        <v>0.23181941861827962</v>
      </c>
      <c r="E26" s="504">
        <f>H26*D26</f>
        <v>0</v>
      </c>
      <c r="F26" s="444"/>
      <c r="G26" s="476"/>
      <c r="H26" s="580" t="b">
        <v>0</v>
      </c>
      <c r="J26" s="663" t="s">
        <v>2</v>
      </c>
      <c r="K26" s="293">
        <v>2.4</v>
      </c>
      <c r="L26" s="566">
        <f>(K26/24)*60</f>
        <v>5.999999999999999</v>
      </c>
      <c r="M26" s="668">
        <f>L26*365*24/1000</f>
        <v>52.55999999999999</v>
      </c>
      <c r="O26" s="673">
        <v>6</v>
      </c>
      <c r="P26" s="639">
        <f t="shared" si="1"/>
        <v>0</v>
      </c>
      <c r="Q26" s="560">
        <f aca="true" t="shared" si="2" ref="Q26:Q31">O26*($U$24-$U$23)/ukpop</f>
        <v>0.5429840000000001</v>
      </c>
      <c r="R26" s="561">
        <f aca="true" t="shared" si="3" ref="R26:R31">O26*$U$29/ukpop</f>
        <v>0.23181941861827962</v>
      </c>
      <c r="S26" s="571" t="s">
        <v>647</v>
      </c>
      <c r="T26" s="571" t="s">
        <v>645</v>
      </c>
      <c r="U26" s="572"/>
      <c r="V26" s="572"/>
      <c r="W26" s="572"/>
      <c r="X26" s="572"/>
      <c r="Y26" s="572"/>
      <c r="Z26" s="572"/>
      <c r="AA26" s="573"/>
    </row>
    <row r="27" spans="1:22" ht="13.5" customHeight="1">
      <c r="A27" s="159"/>
      <c r="B27" s="446" t="s">
        <v>713</v>
      </c>
      <c r="C27" s="455" t="s">
        <v>737</v>
      </c>
      <c r="D27" s="619">
        <f>R27</f>
        <v>0.19318284884856632</v>
      </c>
      <c r="E27" s="504">
        <f>H27*D27</f>
        <v>0</v>
      </c>
      <c r="F27" s="444"/>
      <c r="G27" s="476"/>
      <c r="H27" s="580" t="b">
        <v>0</v>
      </c>
      <c r="J27" s="663" t="s">
        <v>713</v>
      </c>
      <c r="K27" s="293">
        <v>2</v>
      </c>
      <c r="L27" s="566">
        <f>(K27/24)*60</f>
        <v>5</v>
      </c>
      <c r="M27" s="668">
        <f>L27*365*24/1000</f>
        <v>43.8</v>
      </c>
      <c r="O27" s="673">
        <f>L27</f>
        <v>5</v>
      </c>
      <c r="P27" s="639">
        <f t="shared" si="1"/>
        <v>0</v>
      </c>
      <c r="Q27" s="560">
        <f t="shared" si="2"/>
        <v>0.45248666666666665</v>
      </c>
      <c r="R27" s="561">
        <f t="shared" si="3"/>
        <v>0.19318284884856632</v>
      </c>
      <c r="S27" s="630"/>
      <c r="T27" s="436"/>
      <c r="U27" s="439"/>
      <c r="V27" s="538"/>
    </row>
    <row r="28" spans="1:22" ht="13.5" customHeight="1">
      <c r="A28" s="159"/>
      <c r="B28" s="446" t="s">
        <v>712</v>
      </c>
      <c r="C28" s="455" t="s">
        <v>726</v>
      </c>
      <c r="D28" s="619">
        <f>R28</f>
        <v>0.6181851163154123</v>
      </c>
      <c r="E28" s="504">
        <f t="shared" si="0"/>
        <v>0</v>
      </c>
      <c r="F28" s="444"/>
      <c r="G28" s="476"/>
      <c r="H28" s="580" t="b">
        <v>0</v>
      </c>
      <c r="J28" s="663" t="s">
        <v>712</v>
      </c>
      <c r="K28" s="293">
        <v>6.4</v>
      </c>
      <c r="L28" s="566">
        <f>(K28/24)*60</f>
        <v>16</v>
      </c>
      <c r="M28" s="668">
        <f>L28*365*24/1000</f>
        <v>140.16</v>
      </c>
      <c r="O28" s="673">
        <v>16</v>
      </c>
      <c r="P28" s="639">
        <f t="shared" si="1"/>
        <v>0</v>
      </c>
      <c r="Q28" s="560">
        <f t="shared" si="2"/>
        <v>1.4479573333333335</v>
      </c>
      <c r="R28" s="561">
        <f t="shared" si="3"/>
        <v>0.6181851163154123</v>
      </c>
      <c r="S28" s="630" t="s">
        <v>389</v>
      </c>
      <c r="T28" s="436">
        <v>228.31050228310502</v>
      </c>
      <c r="U28" s="439">
        <v>2</v>
      </c>
      <c r="V28" s="538"/>
    </row>
    <row r="29" spans="1:21" ht="13.5" customHeight="1">
      <c r="A29" s="159"/>
      <c r="B29" s="456" t="s">
        <v>4</v>
      </c>
      <c r="C29" s="455" t="s">
        <v>723</v>
      </c>
      <c r="D29" s="560">
        <f>R29</f>
        <v>0.48295712212141584</v>
      </c>
      <c r="E29" s="504">
        <f t="shared" si="0"/>
        <v>0</v>
      </c>
      <c r="F29" s="444"/>
      <c r="G29" s="477"/>
      <c r="H29" s="580" t="b">
        <v>0</v>
      </c>
      <c r="J29" s="664" t="s">
        <v>4</v>
      </c>
      <c r="K29" s="653">
        <v>5</v>
      </c>
      <c r="L29" s="692">
        <f>(K29/24)*60</f>
        <v>12.5</v>
      </c>
      <c r="M29" s="668">
        <f>L29*365*24/1000</f>
        <v>109.5</v>
      </c>
      <c r="O29" s="673">
        <v>12.5</v>
      </c>
      <c r="P29" s="639">
        <f t="shared" si="1"/>
        <v>0</v>
      </c>
      <c r="Q29" s="560">
        <f t="shared" si="2"/>
        <v>1.1312166666666668</v>
      </c>
      <c r="R29" s="561">
        <f t="shared" si="3"/>
        <v>0.48295712212141584</v>
      </c>
      <c r="S29" s="630" t="s">
        <v>660</v>
      </c>
      <c r="T29" s="436">
        <v>264.634039518584</v>
      </c>
      <c r="U29" s="439">
        <v>2.318194186182796</v>
      </c>
    </row>
    <row r="30" spans="1:22" ht="13.5" customHeight="1">
      <c r="A30" s="159"/>
      <c r="B30" s="456" t="s">
        <v>1</v>
      </c>
      <c r="C30" s="455" t="s">
        <v>714</v>
      </c>
      <c r="D30" s="619">
        <f>Q30</f>
        <v>0.09049733333333335</v>
      </c>
      <c r="E30" s="504">
        <f t="shared" si="0"/>
        <v>0</v>
      </c>
      <c r="F30" s="444"/>
      <c r="G30" s="477"/>
      <c r="H30" s="580" t="b">
        <v>0</v>
      </c>
      <c r="J30" s="663" t="s">
        <v>1</v>
      </c>
      <c r="K30" s="293">
        <v>9</v>
      </c>
      <c r="L30" s="566">
        <f>(K30/24)*60</f>
        <v>22.5</v>
      </c>
      <c r="M30" s="668">
        <f>L30*365*24/1000</f>
        <v>197.1</v>
      </c>
      <c r="O30" s="673">
        <v>1</v>
      </c>
      <c r="P30" s="639">
        <f t="shared" si="1"/>
        <v>0</v>
      </c>
      <c r="Q30" s="560">
        <f t="shared" si="2"/>
        <v>0.09049733333333335</v>
      </c>
      <c r="R30" s="561">
        <f t="shared" si="3"/>
        <v>0.03863656976971327</v>
      </c>
      <c r="S30" s="631" t="s">
        <v>629</v>
      </c>
      <c r="T30" s="438">
        <v>150</v>
      </c>
      <c r="U30" s="441">
        <v>1.314</v>
      </c>
      <c r="V30" s="538"/>
    </row>
    <row r="31" spans="1:27" ht="13.5" customHeight="1">
      <c r="A31" s="159"/>
      <c r="B31" s="456" t="s">
        <v>506</v>
      </c>
      <c r="C31" s="455" t="s">
        <v>638</v>
      </c>
      <c r="D31" s="613">
        <f>R31</f>
        <v>2.318194186182796</v>
      </c>
      <c r="E31" s="504">
        <f t="shared" si="0"/>
        <v>0</v>
      </c>
      <c r="F31" s="444"/>
      <c r="G31" s="506">
        <f>IF(P24+P31+P23&gt;30,IF(P24+P31+O23&gt;70,"(Needs many more engineers!)",""),"")</f>
      </c>
      <c r="H31" s="580" t="b">
        <v>0</v>
      </c>
      <c r="J31" s="663" t="s">
        <v>506</v>
      </c>
      <c r="K31" s="293"/>
      <c r="L31" s="566"/>
      <c r="M31" s="668"/>
      <c r="O31" s="673">
        <v>60</v>
      </c>
      <c r="P31" s="639">
        <f t="shared" si="1"/>
        <v>0</v>
      </c>
      <c r="Q31" s="560">
        <f t="shared" si="2"/>
        <v>5.42984</v>
      </c>
      <c r="R31" s="561">
        <f t="shared" si="3"/>
        <v>2.318194186182796</v>
      </c>
      <c r="S31" s="574" t="s">
        <v>648</v>
      </c>
      <c r="T31" s="574" t="s">
        <v>646</v>
      </c>
      <c r="U31" s="575"/>
      <c r="V31" s="575"/>
      <c r="W31" s="575"/>
      <c r="X31" s="575"/>
      <c r="Y31" s="575"/>
      <c r="Z31" s="575"/>
      <c r="AA31" s="576"/>
    </row>
    <row r="32" spans="1:20" ht="6.75" customHeight="1">
      <c r="A32" s="159"/>
      <c r="B32" s="159"/>
      <c r="C32" s="159"/>
      <c r="D32" s="458"/>
      <c r="E32" s="475"/>
      <c r="F32" s="488"/>
      <c r="G32" s="488"/>
      <c r="H32" s="521"/>
      <c r="I32" s="625"/>
      <c r="J32" s="662"/>
      <c r="K32" s="293"/>
      <c r="L32" s="566"/>
      <c r="M32" s="668"/>
      <c r="O32" s="674"/>
      <c r="P32" s="654"/>
      <c r="Q32" s="560"/>
      <c r="R32" s="655"/>
      <c r="S32" s="429"/>
      <c r="T32" s="429"/>
    </row>
    <row r="33" spans="1:28" ht="16.5" customHeight="1" thickBot="1">
      <c r="A33" s="159"/>
      <c r="B33" s="484" t="s">
        <v>390</v>
      </c>
      <c r="C33" s="484"/>
      <c r="D33" s="501"/>
      <c r="E33" s="503">
        <f>MAX(0.7,E20-SUM(E22:E31))</f>
        <v>11.541946618789162</v>
      </c>
      <c r="F33" s="490">
        <f>'Appendix-Exact_Calculations'!H34/ukpop</f>
        <v>11.540667879644275</v>
      </c>
      <c r="G33" s="495"/>
      <c r="H33" s="521"/>
      <c r="I33" s="649"/>
      <c r="J33" s="665" t="s">
        <v>711</v>
      </c>
      <c r="K33" s="656">
        <v>2.3</v>
      </c>
      <c r="L33" s="568">
        <f>(K33/24)*60</f>
        <v>5.75</v>
      </c>
      <c r="M33" s="669">
        <f>L33*365*24/1000</f>
        <v>50.37</v>
      </c>
      <c r="O33" s="675"/>
      <c r="P33" s="657"/>
      <c r="Q33" s="658"/>
      <c r="R33" s="659"/>
      <c r="S33" s="507" t="s">
        <v>725</v>
      </c>
      <c r="T33" s="666"/>
      <c r="U33" s="671">
        <f>U29/U24</f>
        <v>0.4161928520974499</v>
      </c>
      <c r="Z33" s="520"/>
      <c r="AA33" s="520"/>
      <c r="AB33" s="520"/>
    </row>
    <row r="34" spans="1:28" ht="5.25" customHeight="1">
      <c r="A34" s="159"/>
      <c r="B34" s="159"/>
      <c r="C34" s="457"/>
      <c r="D34" s="502"/>
      <c r="E34" s="444"/>
      <c r="F34" s="444"/>
      <c r="G34" s="444"/>
      <c r="H34" s="318"/>
      <c r="I34" s="648"/>
      <c r="J34" s="520"/>
      <c r="M34" s="647"/>
      <c r="N34" s="510"/>
      <c r="O34" s="510"/>
      <c r="R34" s="584"/>
      <c r="S34" s="517"/>
      <c r="T34" s="516"/>
      <c r="U34" s="520"/>
      <c r="V34" s="520"/>
      <c r="W34" s="520"/>
      <c r="X34" s="520"/>
      <c r="Y34" s="520"/>
      <c r="Z34" s="520"/>
      <c r="AA34" s="520"/>
      <c r="AB34" s="520"/>
    </row>
    <row r="35" spans="1:28" ht="12.75" customHeight="1">
      <c r="A35" s="159"/>
      <c r="B35" s="587" t="s">
        <v>641</v>
      </c>
      <c r="C35" s="605"/>
      <c r="D35" s="588"/>
      <c r="E35" s="589">
        <v>4</v>
      </c>
      <c r="F35" s="606"/>
      <c r="G35" s="444"/>
      <c r="H35" s="318"/>
      <c r="I35" s="625"/>
      <c r="J35" s="520"/>
      <c r="K35" s="510"/>
      <c r="L35" s="510"/>
      <c r="M35" s="510"/>
      <c r="N35" s="510"/>
      <c r="O35" s="510"/>
      <c r="R35" s="564"/>
      <c r="S35" s="517"/>
      <c r="T35" s="516"/>
      <c r="U35" s="520"/>
      <c r="V35" s="520"/>
      <c r="W35" s="520"/>
      <c r="X35" s="520"/>
      <c r="Y35" s="520"/>
      <c r="Z35" s="520"/>
      <c r="AA35" s="520"/>
      <c r="AB35" s="520"/>
    </row>
    <row r="36" spans="1:28" ht="12.75" customHeight="1">
      <c r="A36" s="159"/>
      <c r="B36" s="590" t="s">
        <v>642</v>
      </c>
      <c r="C36" s="605"/>
      <c r="D36" s="591"/>
      <c r="E36" s="589">
        <v>1</v>
      </c>
      <c r="F36" s="606"/>
      <c r="G36" s="444"/>
      <c r="H36" s="650"/>
      <c r="M36" s="510"/>
      <c r="N36" s="510"/>
      <c r="O36" s="510"/>
      <c r="R36" s="564"/>
      <c r="S36" s="517"/>
      <c r="T36" s="516"/>
      <c r="U36" s="520"/>
      <c r="V36" s="520"/>
      <c r="W36" s="520"/>
      <c r="X36" s="520"/>
      <c r="Y36" s="520"/>
      <c r="Z36" s="520"/>
      <c r="AA36" s="520"/>
      <c r="AB36" s="520"/>
    </row>
    <row r="37" spans="1:19" ht="18.75" customHeight="1">
      <c r="A37" s="159"/>
      <c r="B37" s="470" t="str">
        <f>IF(finalfootprint&lt;govttarget,IF(finalfootprint&lt;target,"Congratulations, You have reached the target!","You have reached the (UK, 2050) target of ~4 tonnes of CO2 per person."),"Warning! The rate of pollution is dangerously high.")</f>
        <v>Warning! The rate of pollution is dangerously high.</v>
      </c>
      <c r="C37" s="468"/>
      <c r="D37" s="493"/>
      <c r="E37" s="159"/>
      <c r="F37" s="444"/>
      <c r="G37" s="444"/>
      <c r="I37" s="540"/>
      <c r="M37" s="510"/>
      <c r="N37" s="510"/>
      <c r="O37" s="510"/>
      <c r="R37" s="585"/>
      <c r="S37" s="520"/>
    </row>
    <row r="38" spans="1:20" ht="18.75" customHeight="1">
      <c r="A38" s="159"/>
      <c r="B38" s="470" t="str">
        <f>IF(finalfootprint&lt;govttarget,IF(finalfootprint&lt;target,"Global pollution falls to a safe level","Per person UK pollution has converged to Global 2007 average"),"We are heading for catastrophe!")</f>
        <v>We are heading for catastrophe!</v>
      </c>
      <c r="C38" s="468"/>
      <c r="D38" s="493"/>
      <c r="E38" s="468"/>
      <c r="F38" s="468"/>
      <c r="G38" s="468"/>
      <c r="I38" s="540"/>
      <c r="M38" s="540"/>
      <c r="N38" s="545"/>
      <c r="O38" s="545"/>
      <c r="P38" s="540"/>
      <c r="Q38" s="540"/>
      <c r="R38" s="585"/>
      <c r="S38" s="586"/>
      <c r="T38" s="429"/>
    </row>
    <row r="39" spans="1:20" ht="38.25" customHeight="1">
      <c r="A39" s="159"/>
      <c r="B39" s="697">
        <f>IF(finalfootprint&lt;govttarget,IF(finalfootprint&lt;target,"We will save the planet!!","At this rate, the level of greenhouse gases in the atmosphere will continue to rise and the Earth will carry on getting hotter."),"")</f>
      </c>
      <c r="C39" s="698"/>
      <c r="D39" s="698"/>
      <c r="E39" s="698"/>
      <c r="F39" s="552"/>
      <c r="G39" s="469"/>
      <c r="I39" s="547"/>
      <c r="M39" s="547"/>
      <c r="N39" s="546"/>
      <c r="O39" s="546"/>
      <c r="P39" s="547"/>
      <c r="Q39" s="547"/>
      <c r="R39" s="546"/>
      <c r="S39" s="429"/>
      <c r="T39" s="429"/>
    </row>
    <row r="40" spans="2:20" ht="18.75" customHeight="1">
      <c r="B40" s="546"/>
      <c r="C40" s="546"/>
      <c r="D40" s="548"/>
      <c r="E40" s="546"/>
      <c r="F40" s="546"/>
      <c r="G40" s="546"/>
      <c r="I40" s="547"/>
      <c r="M40" s="547"/>
      <c r="N40" s="546"/>
      <c r="O40" s="546"/>
      <c r="P40" s="547"/>
      <c r="Q40" s="547"/>
      <c r="R40" s="546"/>
      <c r="S40" s="429"/>
      <c r="T40" s="429"/>
    </row>
    <row r="41" spans="2:20" ht="17.25">
      <c r="B41" s="549"/>
      <c r="E41" s="550"/>
      <c r="F41" s="550"/>
      <c r="G41" s="550"/>
      <c r="M41" s="551"/>
      <c r="N41" s="550"/>
      <c r="O41" s="550"/>
      <c r="P41" s="551"/>
      <c r="Q41" s="551"/>
      <c r="R41" s="550"/>
      <c r="S41" s="429"/>
      <c r="T41" s="429"/>
    </row>
    <row r="42" spans="2:20" ht="17.25">
      <c r="B42" s="549"/>
      <c r="S42" s="429"/>
      <c r="T42" s="429"/>
    </row>
    <row r="43" spans="2:20" ht="17.25">
      <c r="B43" s="549"/>
      <c r="S43" s="429"/>
      <c r="T43" s="429"/>
    </row>
    <row r="44" spans="19:20" ht="12.75">
      <c r="S44" s="429"/>
      <c r="T44" s="429"/>
    </row>
    <row r="45" spans="5:18" ht="12.75">
      <c r="E45" s="541"/>
      <c r="F45" s="541"/>
      <c r="G45" s="541"/>
      <c r="M45" s="541"/>
      <c r="N45" s="541"/>
      <c r="O45" s="541"/>
      <c r="P45" s="541"/>
      <c r="Q45" s="541"/>
      <c r="R45" s="541"/>
    </row>
    <row r="46" spans="5:18" ht="12.75">
      <c r="E46" s="532"/>
      <c r="F46" s="532"/>
      <c r="G46" s="532"/>
      <c r="M46" s="532"/>
      <c r="N46" s="532"/>
      <c r="O46" s="532"/>
      <c r="P46" s="532"/>
      <c r="Q46" s="532"/>
      <c r="R46" s="532"/>
    </row>
    <row r="47" spans="5:18" ht="12.75">
      <c r="E47" s="544"/>
      <c r="F47" s="544"/>
      <c r="G47" s="544"/>
      <c r="M47" s="544"/>
      <c r="N47" s="544"/>
      <c r="O47" s="544"/>
      <c r="P47" s="544"/>
      <c r="Q47" s="544"/>
      <c r="R47" s="544"/>
    </row>
    <row r="48" spans="5:18" ht="12.75">
      <c r="E48" s="532"/>
      <c r="F48" s="532"/>
      <c r="G48" s="532"/>
      <c r="M48" s="532"/>
      <c r="N48" s="532"/>
      <c r="O48" s="532"/>
      <c r="P48" s="532"/>
      <c r="Q48" s="532"/>
      <c r="R48" s="532"/>
    </row>
    <row r="49" spans="5:18" ht="12.75">
      <c r="E49" s="544"/>
      <c r="F49" s="544"/>
      <c r="G49" s="544"/>
      <c r="M49" s="544"/>
      <c r="N49" s="544"/>
      <c r="O49" s="544"/>
      <c r="P49" s="544"/>
      <c r="Q49" s="544"/>
      <c r="R49" s="544"/>
    </row>
    <row r="50" spans="5:18" ht="12.75">
      <c r="E50" s="544"/>
      <c r="F50" s="544"/>
      <c r="G50" s="544"/>
      <c r="M50" s="544"/>
      <c r="N50" s="544"/>
      <c r="O50" s="544"/>
      <c r="P50" s="544"/>
      <c r="Q50" s="544"/>
      <c r="R50" s="544"/>
    </row>
    <row r="51" spans="5:18" ht="12.75">
      <c r="E51" s="544"/>
      <c r="F51" s="544"/>
      <c r="G51" s="544"/>
      <c r="M51" s="544"/>
      <c r="N51" s="544"/>
      <c r="O51" s="544"/>
      <c r="P51" s="544"/>
      <c r="Q51" s="544"/>
      <c r="R51" s="544"/>
    </row>
    <row r="52" spans="5:18" ht="12.75">
      <c r="E52" s="544"/>
      <c r="F52" s="544"/>
      <c r="G52" s="544"/>
      <c r="M52" s="544"/>
      <c r="N52" s="544"/>
      <c r="O52" s="544"/>
      <c r="P52" s="544"/>
      <c r="Q52" s="544"/>
      <c r="R52" s="544"/>
    </row>
    <row r="53" spans="5:18" ht="12.75">
      <c r="E53" s="544"/>
      <c r="F53" s="544"/>
      <c r="G53" s="544"/>
      <c r="M53" s="544"/>
      <c r="N53" s="544"/>
      <c r="O53" s="544"/>
      <c r="P53" s="544"/>
      <c r="Q53" s="544"/>
      <c r="R53" s="544"/>
    </row>
    <row r="54" spans="5:18" ht="12.75">
      <c r="E54" s="510"/>
      <c r="F54" s="510"/>
      <c r="G54" s="510"/>
      <c r="M54" s="429"/>
      <c r="N54" s="510"/>
      <c r="O54" s="510"/>
      <c r="P54" s="429"/>
      <c r="Q54" s="429"/>
      <c r="R54" s="510"/>
    </row>
  </sheetData>
  <mergeCells count="2">
    <mergeCell ref="B39:E39"/>
    <mergeCell ref="B4:C4"/>
  </mergeCells>
  <conditionalFormatting sqref="H37:I37 B37:D37">
    <cfRule type="cellIs" priority="1" dxfId="0" operator="equal" stopIfTrue="1">
      <formula>"Congratulations, You have reached the target!"</formula>
    </cfRule>
    <cfRule type="cellIs" priority="2" dxfId="1" operator="equal" stopIfTrue="1">
      <formula>"Warning! The rate of pollution is dangerously high."</formula>
    </cfRule>
  </conditionalFormatting>
  <conditionalFormatting sqref="B39:B40 C40:F40 M39:R40 G39:I40">
    <cfRule type="cellIs" priority="3" dxfId="0" operator="equal" stopIfTrue="1">
      <formula>"We will save the planet!!"</formula>
    </cfRule>
  </conditionalFormatting>
  <conditionalFormatting sqref="M38:R38 B38:I38">
    <cfRule type="cellIs" priority="4" dxfId="0" operator="equal" stopIfTrue="1">
      <formula>"Global pollution falls to a safe level"</formula>
    </cfRule>
    <cfRule type="cellIs" priority="5" dxfId="1" operator="equal" stopIfTrue="1">
      <formula>"We are heading for catastrophe!"</formula>
    </cfRule>
  </conditionalFormatting>
  <printOptions/>
  <pageMargins left="0.7875" right="0.7875" top="1.0527777777777778" bottom="1.0527777777777778" header="0.7875" footer="0.7875"/>
  <pageSetup horizontalDpi="300" verticalDpi="300" orientation="portrait" paperSize="9" r:id="rId3"/>
  <headerFooter alignWithMargins="0">
    <oddHeader>&amp;C&amp;"Times New Roman,Regular"&amp;12&amp;A</oddHeader>
    <oddFooter>&amp;C&amp;"Times New Roman,Regular"&amp;12Page &amp;P</oddFooter>
  </headerFooter>
  <ignoredErrors>
    <ignoredError sqref="D30" formula="1"/>
  </ignoredErrors>
  <legacyDrawing r:id="rId2"/>
</worksheet>
</file>

<file path=xl/worksheets/sheet2.xml><?xml version="1.0" encoding="utf-8"?>
<worksheet xmlns="http://schemas.openxmlformats.org/spreadsheetml/2006/main" xmlns:r="http://schemas.openxmlformats.org/officeDocument/2006/relationships">
  <sheetPr codeName="Sheet4"/>
  <dimension ref="A1:Y174"/>
  <sheetViews>
    <sheetView tabSelected="1" zoomScaleSheetLayoutView="100" workbookViewId="0" topLeftCell="A1">
      <selection activeCell="J158" sqref="J158"/>
    </sheetView>
  </sheetViews>
  <sheetFormatPr defaultColWidth="9.140625" defaultRowHeight="12.75"/>
  <cols>
    <col min="1" max="1" width="7.140625" style="12" customWidth="1"/>
    <col min="2" max="2" width="30.7109375" style="11" customWidth="1"/>
    <col min="3" max="6" width="10.00390625" style="296" customWidth="1"/>
    <col min="7" max="8" width="10.00390625" style="307" customWidth="1"/>
    <col min="9" max="9" width="11.7109375" style="6" customWidth="1"/>
    <col min="10" max="10" width="19.28125" style="6" bestFit="1" customWidth="1"/>
    <col min="11" max="16384" width="11.7109375" style="12" customWidth="1"/>
  </cols>
  <sheetData>
    <row r="1" spans="1:25" ht="15">
      <c r="A1" s="693" t="s">
        <v>336</v>
      </c>
      <c r="B1" s="12"/>
      <c r="C1" s="294"/>
      <c r="D1" s="295"/>
      <c r="E1" s="294"/>
      <c r="G1" s="296"/>
      <c r="H1" s="296"/>
      <c r="I1" s="183"/>
      <c r="J1" s="183"/>
      <c r="K1" s="6"/>
      <c r="L1" s="7"/>
      <c r="M1" s="10"/>
      <c r="N1" s="7"/>
      <c r="O1" s="7"/>
      <c r="P1" s="7"/>
      <c r="T1" s="3"/>
      <c r="U1" s="3"/>
      <c r="V1" s="3"/>
      <c r="W1" s="3"/>
      <c r="X1" s="3"/>
      <c r="Y1" s="3"/>
    </row>
    <row r="2" spans="3:25" s="13" customFormat="1" ht="20.25">
      <c r="C2" s="295" t="s">
        <v>318</v>
      </c>
      <c r="D2" s="297" t="s">
        <v>317</v>
      </c>
      <c r="E2" s="298" t="s">
        <v>14</v>
      </c>
      <c r="F2" s="299" t="s">
        <v>309</v>
      </c>
      <c r="G2" s="299" t="s">
        <v>308</v>
      </c>
      <c r="H2" s="299" t="s">
        <v>319</v>
      </c>
      <c r="J2" s="183"/>
      <c r="K2" s="7"/>
      <c r="L2" s="7"/>
      <c r="M2" s="10"/>
      <c r="N2" s="7"/>
      <c r="O2" s="7"/>
      <c r="P2" s="7"/>
      <c r="T2" s="3"/>
      <c r="U2" s="3"/>
      <c r="V2" s="3"/>
      <c r="W2" s="3"/>
      <c r="X2" s="3"/>
      <c r="Y2" s="3"/>
    </row>
    <row r="3" spans="1:25" s="13" customFormat="1" ht="9.75" customHeight="1">
      <c r="A3" s="703" t="s">
        <v>7</v>
      </c>
      <c r="B3" s="4" t="s">
        <v>313</v>
      </c>
      <c r="C3" s="300">
        <v>13.3208885371455</v>
      </c>
      <c r="D3" s="614">
        <f>Form!N7</f>
        <v>0</v>
      </c>
      <c r="E3" s="300">
        <f aca="true" t="shared" si="0" ref="E3:E20">C3*(1-D3)</f>
        <v>13.3208885371455</v>
      </c>
      <c r="F3" s="615">
        <f>SUM(Form!P23:P31)</f>
        <v>0</v>
      </c>
      <c r="G3" s="296">
        <f aca="true" t="shared" si="1" ref="G3:G15">MIN(E3,F3)</f>
        <v>0</v>
      </c>
      <c r="H3" s="296">
        <f aca="true" t="shared" si="2" ref="H3:H15">E3-G3</f>
        <v>13.3208885371455</v>
      </c>
      <c r="I3" s="385"/>
      <c r="J3" s="183"/>
      <c r="K3" s="7"/>
      <c r="L3" s="7"/>
      <c r="M3" s="10"/>
      <c r="N3" s="7"/>
      <c r="O3" s="7"/>
      <c r="P3" s="7"/>
      <c r="T3" s="3"/>
      <c r="U3" s="3"/>
      <c r="V3" s="3"/>
      <c r="W3" s="3"/>
      <c r="X3" s="3"/>
      <c r="Y3" s="3"/>
    </row>
    <row r="4" spans="1:25" s="13" customFormat="1" ht="9.75">
      <c r="A4" s="703"/>
      <c r="B4" s="4" t="s">
        <v>314</v>
      </c>
      <c r="C4" s="300">
        <v>2.4565226663331896</v>
      </c>
      <c r="D4" s="614">
        <f>Form!$N$14</f>
        <v>0</v>
      </c>
      <c r="E4" s="300">
        <f t="shared" si="0"/>
        <v>2.4565226663331896</v>
      </c>
      <c r="F4" s="296">
        <f aca="true" t="shared" si="3" ref="F4:F15">F3-G3</f>
        <v>0</v>
      </c>
      <c r="G4" s="296">
        <f t="shared" si="1"/>
        <v>0</v>
      </c>
      <c r="H4" s="296">
        <f t="shared" si="2"/>
        <v>2.4565226663331896</v>
      </c>
      <c r="J4" s="183"/>
      <c r="K4" s="7"/>
      <c r="L4" s="7"/>
      <c r="M4" s="10"/>
      <c r="N4" s="7"/>
      <c r="O4" s="7"/>
      <c r="P4" s="7"/>
      <c r="T4" s="3"/>
      <c r="U4" s="3"/>
      <c r="V4" s="3"/>
      <c r="W4" s="3"/>
      <c r="X4" s="3"/>
      <c r="Y4" s="3"/>
    </row>
    <row r="5" spans="1:25" s="13" customFormat="1" ht="9.75">
      <c r="A5" s="703"/>
      <c r="B5" s="4" t="s">
        <v>315</v>
      </c>
      <c r="C5" s="302">
        <v>8.586339750622074</v>
      </c>
      <c r="D5" s="614">
        <f>Form!$N$14</f>
        <v>0</v>
      </c>
      <c r="E5" s="300">
        <f t="shared" si="0"/>
        <v>8.586339750622074</v>
      </c>
      <c r="F5" s="296">
        <f t="shared" si="3"/>
        <v>0</v>
      </c>
      <c r="G5" s="296">
        <f t="shared" si="1"/>
        <v>0</v>
      </c>
      <c r="H5" s="296">
        <f t="shared" si="2"/>
        <v>8.586339750622074</v>
      </c>
      <c r="J5" s="183"/>
      <c r="K5" s="7"/>
      <c r="L5" s="7"/>
      <c r="M5" s="10"/>
      <c r="N5" s="7"/>
      <c r="O5" s="7"/>
      <c r="P5" s="7"/>
      <c r="T5" s="3"/>
      <c r="U5" s="3"/>
      <c r="V5" s="3"/>
      <c r="W5" s="3"/>
      <c r="X5" s="3"/>
      <c r="Y5" s="3"/>
    </row>
    <row r="6" spans="1:25" s="13" customFormat="1" ht="9.75">
      <c r="A6" s="703"/>
      <c r="B6" s="4" t="s">
        <v>316</v>
      </c>
      <c r="C6" s="300">
        <v>13.549977091926781</v>
      </c>
      <c r="D6" s="614">
        <f>Form!$N$13</f>
        <v>0</v>
      </c>
      <c r="E6" s="300">
        <f t="shared" si="0"/>
        <v>13.549977091926781</v>
      </c>
      <c r="F6" s="296">
        <f t="shared" si="3"/>
        <v>0</v>
      </c>
      <c r="G6" s="296">
        <f t="shared" si="1"/>
        <v>0</v>
      </c>
      <c r="H6" s="296">
        <f t="shared" si="2"/>
        <v>13.549977091926781</v>
      </c>
      <c r="J6" s="183"/>
      <c r="K6" s="7"/>
      <c r="L6" s="7"/>
      <c r="M6" s="10"/>
      <c r="N6" s="7"/>
      <c r="O6" s="7"/>
      <c r="P6" s="7"/>
      <c r="T6" s="3"/>
      <c r="U6" s="3"/>
      <c r="V6" s="3"/>
      <c r="W6" s="3"/>
      <c r="X6" s="3"/>
      <c r="Y6" s="3"/>
    </row>
    <row r="7" spans="1:25" s="13" customFormat="1" ht="9.75">
      <c r="A7" s="703"/>
      <c r="B7" s="4" t="s">
        <v>671</v>
      </c>
      <c r="C7" s="302">
        <v>0.47345575674362694</v>
      </c>
      <c r="D7" s="614">
        <f>Form!$N$13</f>
        <v>0</v>
      </c>
      <c r="E7" s="300">
        <f t="shared" si="0"/>
        <v>0.47345575674362694</v>
      </c>
      <c r="F7" s="296">
        <f t="shared" si="3"/>
        <v>0</v>
      </c>
      <c r="G7" s="296">
        <f t="shared" si="1"/>
        <v>0</v>
      </c>
      <c r="H7" s="296">
        <f t="shared" si="2"/>
        <v>0.47345575674362694</v>
      </c>
      <c r="J7" s="700" t="s">
        <v>740</v>
      </c>
      <c r="K7" s="701"/>
      <c r="L7" s="7"/>
      <c r="M7" s="10"/>
      <c r="N7" s="7"/>
      <c r="O7" s="7"/>
      <c r="P7" s="7"/>
      <c r="T7" s="3"/>
      <c r="U7" s="3"/>
      <c r="V7" s="3"/>
      <c r="W7" s="3"/>
      <c r="X7" s="3"/>
      <c r="Y7" s="3"/>
    </row>
    <row r="8" spans="1:25" s="13" customFormat="1" ht="9.75">
      <c r="A8" s="703"/>
      <c r="B8" s="4" t="s">
        <v>356</v>
      </c>
      <c r="C8" s="302">
        <v>5.467362295690563</v>
      </c>
      <c r="D8" s="301">
        <v>0</v>
      </c>
      <c r="E8" s="300">
        <f t="shared" si="0"/>
        <v>5.467362295690563</v>
      </c>
      <c r="F8" s="296">
        <f t="shared" si="3"/>
        <v>0</v>
      </c>
      <c r="G8" s="296">
        <f t="shared" si="1"/>
        <v>0</v>
      </c>
      <c r="H8" s="296">
        <f t="shared" si="2"/>
        <v>5.467362295690563</v>
      </c>
      <c r="J8" s="688" t="s">
        <v>665</v>
      </c>
      <c r="K8" s="689">
        <f>F17-G17</f>
        <v>0</v>
      </c>
      <c r="L8" s="7"/>
      <c r="M8" s="10"/>
      <c r="N8" s="7"/>
      <c r="O8" s="7"/>
      <c r="P8" s="7"/>
      <c r="T8" s="3"/>
      <c r="U8" s="3"/>
      <c r="V8" s="3"/>
      <c r="W8" s="3"/>
      <c r="X8" s="3"/>
      <c r="Y8" s="3"/>
    </row>
    <row r="9" spans="1:25" s="13" customFormat="1" ht="9.75" customHeight="1">
      <c r="A9" s="705" t="s">
        <v>328</v>
      </c>
      <c r="B9" s="4" t="s">
        <v>320</v>
      </c>
      <c r="C9" s="300">
        <v>48.279261146004956</v>
      </c>
      <c r="D9" s="614">
        <f>Form!N12</f>
        <v>0</v>
      </c>
      <c r="E9" s="300">
        <f>C9*(1-D9)</f>
        <v>48.279261146004956</v>
      </c>
      <c r="F9" s="296">
        <f t="shared" si="3"/>
        <v>0</v>
      </c>
      <c r="G9" s="296">
        <f t="shared" si="1"/>
        <v>0</v>
      </c>
      <c r="H9" s="296">
        <f t="shared" si="2"/>
        <v>48.279261146004956</v>
      </c>
      <c r="J9" s="688" t="s">
        <v>718</v>
      </c>
      <c r="K9" s="689">
        <f>Form!P25</f>
        <v>0</v>
      </c>
      <c r="L9" s="239"/>
      <c r="M9" s="239"/>
      <c r="N9" s="239"/>
      <c r="O9" s="239"/>
      <c r="P9" s="239"/>
      <c r="T9" s="3"/>
      <c r="U9" s="240"/>
      <c r="V9" s="3"/>
      <c r="W9" s="3"/>
      <c r="X9" s="3"/>
      <c r="Y9" s="3"/>
    </row>
    <row r="10" spans="1:25" s="13" customFormat="1" ht="9.75">
      <c r="A10" s="705"/>
      <c r="B10" s="4" t="s">
        <v>321</v>
      </c>
      <c r="C10" s="300">
        <v>6.37376201071169</v>
      </c>
      <c r="D10" s="614">
        <f>Form!$N$14</f>
        <v>0</v>
      </c>
      <c r="E10" s="300">
        <f t="shared" si="0"/>
        <v>6.37376201071169</v>
      </c>
      <c r="F10" s="296">
        <f t="shared" si="3"/>
        <v>0</v>
      </c>
      <c r="G10" s="296">
        <f t="shared" si="1"/>
        <v>0</v>
      </c>
      <c r="H10" s="296">
        <f t="shared" si="2"/>
        <v>6.37376201071169</v>
      </c>
      <c r="J10" s="688" t="s">
        <v>721</v>
      </c>
      <c r="K10" s="689">
        <f>MAX(K9-K8,0)</f>
        <v>0</v>
      </c>
      <c r="L10" s="7"/>
      <c r="M10" s="7"/>
      <c r="N10" s="7"/>
      <c r="O10" s="7"/>
      <c r="P10" s="7"/>
      <c r="T10" s="3"/>
      <c r="U10" s="3"/>
      <c r="V10" s="3"/>
      <c r="W10" s="3"/>
      <c r="X10" s="3"/>
      <c r="Y10" s="3"/>
    </row>
    <row r="11" spans="1:25" s="13" customFormat="1" ht="9.75">
      <c r="A11" s="705"/>
      <c r="B11" s="4" t="s">
        <v>322</v>
      </c>
      <c r="C11" s="300">
        <v>4.497730434282597</v>
      </c>
      <c r="D11" s="614">
        <f>Form!$N$14</f>
        <v>0</v>
      </c>
      <c r="E11" s="300">
        <f t="shared" si="0"/>
        <v>4.497730434282597</v>
      </c>
      <c r="F11" s="296">
        <f t="shared" si="3"/>
        <v>0</v>
      </c>
      <c r="G11" s="296">
        <f t="shared" si="1"/>
        <v>0</v>
      </c>
      <c r="H11" s="296">
        <f t="shared" si="2"/>
        <v>4.497730434282597</v>
      </c>
      <c r="J11" s="688" t="s">
        <v>719</v>
      </c>
      <c r="K11" s="689">
        <f>K9-K10</f>
        <v>0</v>
      </c>
      <c r="L11" s="7"/>
      <c r="M11" s="7"/>
      <c r="N11" s="7"/>
      <c r="O11" s="7"/>
      <c r="P11" s="7"/>
      <c r="T11" s="3"/>
      <c r="U11" s="3"/>
      <c r="V11" s="3"/>
      <c r="W11" s="3"/>
      <c r="X11" s="3"/>
      <c r="Y11" s="3"/>
    </row>
    <row r="12" spans="1:16" ht="9.75">
      <c r="A12" s="705"/>
      <c r="B12" s="4" t="s">
        <v>323</v>
      </c>
      <c r="C12" s="300">
        <v>27.90916885426222</v>
      </c>
      <c r="D12" s="614">
        <f>Form!$N$13</f>
        <v>0</v>
      </c>
      <c r="E12" s="300">
        <f t="shared" si="0"/>
        <v>27.90916885426222</v>
      </c>
      <c r="F12" s="296">
        <f t="shared" si="3"/>
        <v>0</v>
      </c>
      <c r="G12" s="296">
        <f t="shared" si="1"/>
        <v>0</v>
      </c>
      <c r="H12" s="296">
        <f t="shared" si="2"/>
        <v>27.90916885426222</v>
      </c>
      <c r="J12" s="690" t="s">
        <v>720</v>
      </c>
      <c r="K12" s="691">
        <f>K8-K11</f>
        <v>0</v>
      </c>
      <c r="L12" s="6"/>
      <c r="M12" s="6"/>
      <c r="N12" s="6"/>
      <c r="O12" s="6"/>
      <c r="P12" s="6"/>
    </row>
    <row r="13" spans="1:25" ht="9.75">
      <c r="A13" s="705"/>
      <c r="B13" s="4" t="s">
        <v>672</v>
      </c>
      <c r="C13" s="300">
        <v>0.7411034040659847</v>
      </c>
      <c r="D13" s="614">
        <f>Form!$N$13</f>
        <v>0</v>
      </c>
      <c r="E13" s="300">
        <f t="shared" si="0"/>
        <v>0.7411034040659847</v>
      </c>
      <c r="F13" s="296">
        <f t="shared" si="3"/>
        <v>0</v>
      </c>
      <c r="G13" s="296">
        <f t="shared" si="1"/>
        <v>0</v>
      </c>
      <c r="H13" s="296">
        <f t="shared" si="2"/>
        <v>0.7411034040659847</v>
      </c>
      <c r="J13" s="7"/>
      <c r="K13" s="6"/>
      <c r="L13" s="7"/>
      <c r="M13" s="10"/>
      <c r="N13" s="7"/>
      <c r="O13" s="7"/>
      <c r="P13" s="7"/>
      <c r="T13" s="3"/>
      <c r="U13" s="3"/>
      <c r="V13" s="3"/>
      <c r="W13" s="3"/>
      <c r="X13" s="3"/>
      <c r="Y13" s="3"/>
    </row>
    <row r="14" spans="1:25" ht="9.75">
      <c r="A14" s="705"/>
      <c r="B14" s="4" t="s">
        <v>324</v>
      </c>
      <c r="C14" s="300">
        <v>1.1519337984695723</v>
      </c>
      <c r="D14" s="301">
        <v>0</v>
      </c>
      <c r="E14" s="300">
        <f t="shared" si="0"/>
        <v>1.1519337984695723</v>
      </c>
      <c r="F14" s="296">
        <f t="shared" si="3"/>
        <v>0</v>
      </c>
      <c r="G14" s="296">
        <f t="shared" si="1"/>
        <v>0</v>
      </c>
      <c r="H14" s="296">
        <f t="shared" si="2"/>
        <v>1.1519337984695723</v>
      </c>
      <c r="J14" s="7"/>
      <c r="K14" s="6"/>
      <c r="L14" s="8"/>
      <c r="M14" s="5"/>
      <c r="N14" s="8"/>
      <c r="O14" s="8"/>
      <c r="P14" s="8"/>
      <c r="T14" s="3"/>
      <c r="U14" s="3"/>
      <c r="V14" s="3"/>
      <c r="W14" s="3"/>
      <c r="X14" s="3"/>
      <c r="Y14" s="3"/>
    </row>
    <row r="15" spans="1:16" ht="9.75">
      <c r="A15" s="705"/>
      <c r="B15" s="4" t="s">
        <v>669</v>
      </c>
      <c r="C15" s="300">
        <f>56.2199105318657*58%</f>
        <v>32.607548108482106</v>
      </c>
      <c r="D15" s="614">
        <f>VALUE(Form!H16)</f>
        <v>0</v>
      </c>
      <c r="E15" s="300">
        <f t="shared" si="0"/>
        <v>32.607548108482106</v>
      </c>
      <c r="F15" s="296">
        <f t="shared" si="3"/>
        <v>0</v>
      </c>
      <c r="G15" s="296">
        <f t="shared" si="1"/>
        <v>0</v>
      </c>
      <c r="H15" s="296">
        <f t="shared" si="2"/>
        <v>32.607548108482106</v>
      </c>
      <c r="J15" s="7"/>
      <c r="K15" s="6"/>
      <c r="L15" s="6"/>
      <c r="M15" s="6"/>
      <c r="N15" s="6"/>
      <c r="O15" s="6"/>
      <c r="P15" s="6"/>
    </row>
    <row r="16" spans="1:16" ht="9.75">
      <c r="A16" s="705"/>
      <c r="B16" s="4" t="s">
        <v>653</v>
      </c>
      <c r="C16" s="300">
        <f>56.2199105318657*24%</f>
        <v>13.492778527647767</v>
      </c>
      <c r="D16" s="301">
        <v>0</v>
      </c>
      <c r="E16" s="300">
        <f>C16*(1-D16)</f>
        <v>13.492778527647767</v>
      </c>
      <c r="F16" s="296">
        <f>F15-G15</f>
        <v>0</v>
      </c>
      <c r="G16" s="296">
        <f>MIN(E16,F16)</f>
        <v>0</v>
      </c>
      <c r="H16" s="296">
        <f>E16-G16</f>
        <v>13.492778527647767</v>
      </c>
      <c r="J16" s="7"/>
      <c r="K16" s="6"/>
      <c r="L16" s="6"/>
      <c r="M16" s="6"/>
      <c r="N16" s="6"/>
      <c r="O16" s="6"/>
      <c r="P16" s="6"/>
    </row>
    <row r="17" spans="1:16" ht="9.75">
      <c r="A17" s="705"/>
      <c r="B17" s="4" t="s">
        <v>670</v>
      </c>
      <c r="C17" s="300">
        <f>56.2199105318657*18%</f>
        <v>10.119583895735826</v>
      </c>
      <c r="D17" s="301">
        <v>0</v>
      </c>
      <c r="E17" s="300">
        <f>C17*(1-D17)</f>
        <v>10.119583895735826</v>
      </c>
      <c r="F17" s="296">
        <f>F16-G16</f>
        <v>0</v>
      </c>
      <c r="G17" s="296">
        <f>MIN(E17,F17)</f>
        <v>0</v>
      </c>
      <c r="H17" s="296">
        <f>E17-G17</f>
        <v>10.119583895735826</v>
      </c>
      <c r="J17" s="7"/>
      <c r="K17" s="6"/>
      <c r="L17" s="6"/>
      <c r="M17" s="6"/>
      <c r="N17" s="6"/>
      <c r="O17" s="6"/>
      <c r="P17" s="6"/>
    </row>
    <row r="18" spans="1:16" ht="14.25" customHeight="1">
      <c r="A18" s="704" t="s">
        <v>361</v>
      </c>
      <c r="B18" s="4" t="s">
        <v>325</v>
      </c>
      <c r="C18" s="300">
        <v>1.81739109823601</v>
      </c>
      <c r="D18" s="301">
        <v>0</v>
      </c>
      <c r="E18" s="300">
        <f t="shared" si="0"/>
        <v>1.81739109823601</v>
      </c>
      <c r="G18" s="296"/>
      <c r="H18" s="296">
        <f>E18</f>
        <v>1.81739109823601</v>
      </c>
      <c r="J18" s="7"/>
      <c r="K18" s="6"/>
      <c r="L18" s="6"/>
      <c r="M18" s="6"/>
      <c r="N18" s="6"/>
      <c r="O18" s="6"/>
      <c r="P18" s="6"/>
    </row>
    <row r="19" spans="1:16" ht="14.25" customHeight="1">
      <c r="A19" s="704"/>
      <c r="B19" s="4" t="s">
        <v>326</v>
      </c>
      <c r="C19" s="300">
        <v>18.377047051126432</v>
      </c>
      <c r="D19" s="614">
        <f>VALUE(Form!H18)</f>
        <v>-1</v>
      </c>
      <c r="E19" s="303">
        <f t="shared" si="0"/>
        <v>36.754094102252864</v>
      </c>
      <c r="G19" s="296"/>
      <c r="H19" s="296">
        <f>E19</f>
        <v>36.754094102252864</v>
      </c>
      <c r="J19" s="7"/>
      <c r="K19" s="6"/>
      <c r="L19" s="6"/>
      <c r="M19" s="6"/>
      <c r="N19" s="6"/>
      <c r="O19" s="6"/>
      <c r="P19" s="6"/>
    </row>
    <row r="20" spans="1:16" ht="14.25" customHeight="1">
      <c r="A20" s="704"/>
      <c r="B20" s="9" t="s">
        <v>327</v>
      </c>
      <c r="C20" s="300">
        <v>2.9061223468615545</v>
      </c>
      <c r="D20" s="301">
        <v>0</v>
      </c>
      <c r="E20" s="300">
        <f t="shared" si="0"/>
        <v>2.9061223468615545</v>
      </c>
      <c r="G20" s="296"/>
      <c r="H20" s="296">
        <f>E20</f>
        <v>2.9061223468615545</v>
      </c>
      <c r="J20" s="10"/>
      <c r="K20" s="6"/>
      <c r="L20" s="6"/>
      <c r="M20" s="6"/>
      <c r="N20" s="6"/>
      <c r="O20" s="6"/>
      <c r="P20" s="6"/>
    </row>
    <row r="21" spans="1:16" ht="9.75">
      <c r="A21" s="251"/>
      <c r="D21" s="304"/>
      <c r="E21" s="304"/>
      <c r="G21" s="306"/>
      <c r="H21" s="300"/>
      <c r="I21" s="7"/>
      <c r="J21" s="10"/>
      <c r="K21" s="6"/>
      <c r="L21" s="6"/>
      <c r="M21" s="6"/>
      <c r="N21" s="6"/>
      <c r="O21" s="6"/>
      <c r="P21" s="6"/>
    </row>
    <row r="22" spans="1:16" ht="9.75">
      <c r="A22" s="370"/>
      <c r="B22" s="12"/>
      <c r="C22" s="12"/>
      <c r="D22" s="12"/>
      <c r="E22" s="251" t="s">
        <v>634</v>
      </c>
      <c r="F22" s="305"/>
      <c r="G22" s="251" t="s">
        <v>635</v>
      </c>
      <c r="H22" s="305"/>
      <c r="J22" s="7"/>
      <c r="K22" s="6"/>
      <c r="L22" s="6"/>
      <c r="M22" s="6"/>
      <c r="N22" s="6"/>
      <c r="O22" s="6"/>
      <c r="P22" s="6"/>
    </row>
    <row r="23" spans="1:16" ht="9.75">
      <c r="A23" s="370"/>
      <c r="B23" s="251" t="s">
        <v>673</v>
      </c>
      <c r="C23" s="304">
        <v>33.74894446815841</v>
      </c>
      <c r="D23" s="616">
        <f>1-SUM(E9:E20)/SUM(C9:C20)</f>
        <v>-0.10920943952537998</v>
      </c>
      <c r="E23" s="304">
        <f>C23*(1-D23)</f>
        <v>37.43464777809917</v>
      </c>
      <c r="F23" s="616">
        <f>1-SUM(H9:H20)/SUM(E9:E20)</f>
        <v>0</v>
      </c>
      <c r="G23" s="304">
        <f>E23*(1-F23)</f>
        <v>37.43464777809917</v>
      </c>
      <c r="H23" s="12"/>
      <c r="J23" s="7"/>
      <c r="K23" s="6"/>
      <c r="L23" s="6"/>
      <c r="M23" s="6"/>
      <c r="N23" s="6"/>
      <c r="O23" s="6"/>
      <c r="P23" s="6"/>
    </row>
    <row r="24" spans="1:16" ht="9.75">
      <c r="A24" s="370"/>
      <c r="B24" s="251"/>
      <c r="C24" s="304"/>
      <c r="D24" s="304"/>
      <c r="E24" s="304"/>
      <c r="F24" s="305"/>
      <c r="G24" s="305"/>
      <c r="H24" s="305"/>
      <c r="J24" s="7"/>
      <c r="K24" s="6"/>
      <c r="L24" s="6"/>
      <c r="M24" s="6"/>
      <c r="N24" s="6"/>
      <c r="O24" s="6"/>
      <c r="P24" s="6"/>
    </row>
    <row r="25" spans="3:16" ht="9.75">
      <c r="C25" s="702" t="s">
        <v>351</v>
      </c>
      <c r="D25" s="702"/>
      <c r="E25" s="702" t="s">
        <v>352</v>
      </c>
      <c r="F25" s="702"/>
      <c r="G25" s="702" t="s">
        <v>354</v>
      </c>
      <c r="H25" s="702"/>
      <c r="K25" s="6"/>
      <c r="L25" s="6"/>
      <c r="M25" s="6"/>
      <c r="N25" s="6"/>
      <c r="O25" s="6"/>
      <c r="P25" s="6"/>
    </row>
    <row r="26" spans="3:16" ht="9.75">
      <c r="C26" s="296" t="s">
        <v>15</v>
      </c>
      <c r="D26" s="296" t="s">
        <v>353</v>
      </c>
      <c r="E26" s="296" t="s">
        <v>15</v>
      </c>
      <c r="F26" s="300" t="s">
        <v>353</v>
      </c>
      <c r="G26" s="307" t="s">
        <v>15</v>
      </c>
      <c r="H26" s="307" t="s">
        <v>353</v>
      </c>
      <c r="K26" s="6"/>
      <c r="L26" s="6"/>
      <c r="M26" s="6"/>
      <c r="N26" s="6"/>
      <c r="O26" s="6"/>
      <c r="P26" s="6"/>
    </row>
    <row r="27" spans="2:16" ht="9.75">
      <c r="B27" s="241" t="s">
        <v>631</v>
      </c>
      <c r="C27" s="308">
        <v>11.52876301369863</v>
      </c>
      <c r="D27" s="308">
        <f>C27*'Appendix-Exact_Calculations'!$D$48</f>
        <v>1.615871424</v>
      </c>
      <c r="E27" s="308">
        <v>11.5287630136986</v>
      </c>
      <c r="F27" s="308">
        <f>E27*'Appendix-Exact_Calculations'!$D$48</f>
        <v>1.6158714239999958</v>
      </c>
      <c r="G27" s="308">
        <f>F3-G31</f>
        <v>0</v>
      </c>
      <c r="H27" s="308">
        <f>G27*'Appendix-Exact_Calculations'!$D$48</f>
        <v>0</v>
      </c>
      <c r="K27" s="6"/>
      <c r="L27" s="6"/>
      <c r="M27" s="6"/>
      <c r="N27" s="6"/>
      <c r="O27" s="6"/>
      <c r="P27" s="6"/>
    </row>
    <row r="28" spans="2:16" ht="9.75">
      <c r="B28" s="4" t="s">
        <v>355</v>
      </c>
      <c r="C28" s="302">
        <f>SUM(C3:C8)-C27</f>
        <v>32.3257830847631</v>
      </c>
      <c r="D28" s="302">
        <f>C28*'Appendix-Exact_Calculations'!$D$50</f>
        <v>180.05461178213048</v>
      </c>
      <c r="E28" s="302">
        <f>SUM(E3:E8)-E27</f>
        <v>32.32578308476313</v>
      </c>
      <c r="F28" s="302">
        <f>E28*'Appendix-Exact_Calculations'!$D$50</f>
        <v>180.05461178213065</v>
      </c>
      <c r="G28" s="302">
        <f>SUM(H3:H8)</f>
        <v>43.85454609846173</v>
      </c>
      <c r="H28" s="302">
        <f>G28*'Appendix-Exact_Calculations'!$D$50</f>
        <v>244.26982176843185</v>
      </c>
      <c r="K28" s="6"/>
      <c r="L28" s="6"/>
      <c r="M28" s="6"/>
      <c r="N28" s="6"/>
      <c r="O28" s="6"/>
      <c r="P28" s="6"/>
    </row>
    <row r="29" spans="2:16" ht="9.75">
      <c r="B29" s="4" t="s">
        <v>349</v>
      </c>
      <c r="C29" s="300">
        <f>SUM(C9:C17)</f>
        <v>145.1728701796627</v>
      </c>
      <c r="D29" s="302">
        <f>C29*'Appendix-Exact_Calculations'!$D$52</f>
        <v>290.3457403593254</v>
      </c>
      <c r="E29" s="300">
        <f>SUM(E9:E17)</f>
        <v>145.1728701796627</v>
      </c>
      <c r="F29" s="302">
        <f>E29*'Appendix-Exact_Calculations'!$D$52</f>
        <v>290.3457403593254</v>
      </c>
      <c r="G29" s="300">
        <f>SUM(H9:H17)</f>
        <v>145.1728701796627</v>
      </c>
      <c r="H29" s="302">
        <f>G29*'Appendix-Exact_Calculations'!$D$52</f>
        <v>290.3457403593254</v>
      </c>
      <c r="K29" s="6"/>
      <c r="L29" s="6"/>
      <c r="M29" s="6"/>
      <c r="N29" s="6"/>
      <c r="O29" s="6"/>
      <c r="P29" s="6"/>
    </row>
    <row r="30" spans="2:16" ht="9.75">
      <c r="B30" s="4" t="s">
        <v>350</v>
      </c>
      <c r="C30" s="300">
        <f>SUM(C18:C20)</f>
        <v>23.100560496223995</v>
      </c>
      <c r="D30" s="302">
        <f>C30*'Appendix-Exact_Calculations'!$D$52</f>
        <v>46.20112099244799</v>
      </c>
      <c r="E30" s="300">
        <f>SUM(E18:E20)</f>
        <v>41.47760754735043</v>
      </c>
      <c r="F30" s="302">
        <f>E30*'Appendix-Exact_Calculations'!$D$52</f>
        <v>82.95521509470086</v>
      </c>
      <c r="G30" s="300">
        <f>SUM(H18:H20)</f>
        <v>41.47760754735043</v>
      </c>
      <c r="H30" s="302">
        <f>G30*'Appendix-Exact_Calculations'!$D$52</f>
        <v>82.95521509470086</v>
      </c>
      <c r="K30" s="6"/>
      <c r="L30" s="6"/>
      <c r="M30" s="6"/>
      <c r="N30" s="6"/>
      <c r="O30" s="6"/>
      <c r="P30" s="6"/>
    </row>
    <row r="31" spans="2:16" ht="9.75">
      <c r="B31" s="241" t="s">
        <v>5</v>
      </c>
      <c r="C31" s="308">
        <v>0</v>
      </c>
      <c r="D31" s="308">
        <v>0</v>
      </c>
      <c r="E31" s="308">
        <v>0</v>
      </c>
      <c r="F31" s="308">
        <v>0</v>
      </c>
      <c r="G31" s="614">
        <f>K10</f>
        <v>0</v>
      </c>
      <c r="H31" s="308">
        <f>G31*'Appendix-Exact_Calculations'!$D$49</f>
        <v>0</v>
      </c>
      <c r="K31" s="6"/>
      <c r="L31" s="6"/>
      <c r="M31" s="6"/>
      <c r="N31" s="6"/>
      <c r="O31" s="6"/>
      <c r="P31" s="6"/>
    </row>
    <row r="32" spans="2:16" ht="9.75">
      <c r="B32" s="13" t="s">
        <v>673</v>
      </c>
      <c r="D32" s="302">
        <f>$C$23*$D$52</f>
        <v>67.49788893631683</v>
      </c>
      <c r="F32" s="302">
        <f>$E$23*$D$52</f>
        <v>74.86929555619834</v>
      </c>
      <c r="G32" s="305"/>
      <c r="H32" s="302">
        <f>$G$23*$D$52</f>
        <v>74.86929555619834</v>
      </c>
      <c r="K32" s="6"/>
      <c r="L32" s="6"/>
      <c r="M32" s="6"/>
      <c r="N32" s="6"/>
      <c r="O32" s="6"/>
      <c r="P32" s="6"/>
    </row>
    <row r="34" spans="2:16" ht="9.75">
      <c r="B34" s="371" t="s">
        <v>365</v>
      </c>
      <c r="C34" s="462">
        <f>SUM(C27:C30)</f>
        <v>212.12797677434844</v>
      </c>
      <c r="D34" s="462">
        <f>SUM(D27:D32)</f>
        <v>585.7152334942207</v>
      </c>
      <c r="E34" s="464">
        <f>SUM(E27:E30)</f>
        <v>230.50502382547486</v>
      </c>
      <c r="F34" s="462">
        <f>SUM(F27:F32)</f>
        <v>629.8407342163554</v>
      </c>
      <c r="G34" s="463">
        <f>SUM(G27:G32)-E23</f>
        <v>193.0703760473757</v>
      </c>
      <c r="H34" s="462">
        <f>SUM(H27:H32)</f>
        <v>692.4400727786565</v>
      </c>
      <c r="K34" s="6"/>
      <c r="L34" s="6"/>
      <c r="M34" s="6"/>
      <c r="N34" s="6"/>
      <c r="O34" s="6"/>
      <c r="P34" s="6"/>
    </row>
    <row r="36" spans="2:16" ht="9.75">
      <c r="B36" s="465" t="s">
        <v>632</v>
      </c>
      <c r="C36" s="305"/>
      <c r="D36" s="305"/>
      <c r="E36" s="305">
        <f>SUMPRODUCT(D3:D20,C3:C20)</f>
        <v>-18.377047051126432</v>
      </c>
      <c r="F36" s="304">
        <f>D34-F34</f>
        <v>-44.12550072213469</v>
      </c>
      <c r="H36" s="307">
        <f>F34-H34</f>
        <v>-62.599338562301114</v>
      </c>
      <c r="K36" s="6"/>
      <c r="L36" s="6"/>
      <c r="M36" s="6"/>
      <c r="N36" s="6"/>
      <c r="O36" s="6"/>
      <c r="P36" s="6"/>
    </row>
    <row r="38" spans="2:16" ht="9.75">
      <c r="B38" s="11" t="s">
        <v>633</v>
      </c>
      <c r="F38" s="12"/>
      <c r="G38" s="305">
        <f>-K12</f>
        <v>0</v>
      </c>
      <c r="H38" s="304">
        <f>K8*$D$54</f>
        <v>0</v>
      </c>
      <c r="K38" s="6"/>
      <c r="L38" s="6"/>
      <c r="M38" s="6"/>
      <c r="N38" s="6"/>
      <c r="O38" s="6"/>
      <c r="P38" s="6"/>
    </row>
    <row r="39" spans="2:8" ht="9.75">
      <c r="B39" s="236"/>
      <c r="C39" s="487"/>
      <c r="D39" s="309"/>
      <c r="E39" s="304"/>
      <c r="F39" s="309"/>
      <c r="G39" s="304"/>
      <c r="H39" s="309"/>
    </row>
    <row r="40" spans="1:7" ht="12.75">
      <c r="A40" s="292" t="s">
        <v>386</v>
      </c>
      <c r="B40" s="12"/>
      <c r="E40" s="310"/>
      <c r="G40" s="311"/>
    </row>
    <row r="41" spans="2:8" ht="9.75">
      <c r="B41" s="251" t="s">
        <v>395</v>
      </c>
      <c r="C41" s="305"/>
      <c r="D41" s="305"/>
      <c r="E41" s="312"/>
      <c r="F41" s="305"/>
      <c r="G41" s="313"/>
      <c r="H41" s="304"/>
    </row>
    <row r="42" spans="2:8" ht="12">
      <c r="B42" s="251" t="s">
        <v>399</v>
      </c>
      <c r="C42" s="305"/>
      <c r="D42" s="305"/>
      <c r="E42" s="312"/>
      <c r="F42" s="305"/>
      <c r="G42" s="313"/>
      <c r="H42" s="304"/>
    </row>
    <row r="43" spans="2:7" ht="9.75">
      <c r="B43" s="12"/>
      <c r="G43" s="311"/>
    </row>
    <row r="44" spans="2:7" ht="21">
      <c r="B44" s="238" t="s">
        <v>312</v>
      </c>
      <c r="C44" s="442" t="s">
        <v>18</v>
      </c>
      <c r="D44" s="443" t="s">
        <v>108</v>
      </c>
      <c r="G44" s="311"/>
    </row>
    <row r="45" spans="2:7" ht="9.75">
      <c r="B45" s="233" t="s">
        <v>19</v>
      </c>
      <c r="C45" s="436">
        <v>330</v>
      </c>
      <c r="D45" s="439">
        <f>C45/$C$71</f>
        <v>2.8908</v>
      </c>
      <c r="F45" s="314"/>
      <c r="G45" s="315"/>
    </row>
    <row r="46" spans="2:7" ht="9.75">
      <c r="B46" s="233" t="s">
        <v>20</v>
      </c>
      <c r="C46" s="436">
        <v>250</v>
      </c>
      <c r="D46" s="439">
        <f>C46/$C$71</f>
        <v>2.19</v>
      </c>
      <c r="F46" s="314"/>
      <c r="G46" s="315"/>
    </row>
    <row r="47" spans="2:7" ht="9.75">
      <c r="B47" s="233" t="s">
        <v>21</v>
      </c>
      <c r="C47" s="436">
        <v>190</v>
      </c>
      <c r="D47" s="439">
        <f>C47/$C$71</f>
        <v>1.6644</v>
      </c>
      <c r="F47" s="314"/>
      <c r="G47" s="315"/>
    </row>
    <row r="48" spans="2:7" ht="9.75">
      <c r="B48" s="435" t="s">
        <v>630</v>
      </c>
      <c r="C48" s="437">
        <f>D48*$C$71</f>
        <v>16</v>
      </c>
      <c r="D48" s="440">
        <v>0.14016</v>
      </c>
      <c r="F48" s="314"/>
      <c r="G48" s="315"/>
    </row>
    <row r="49" spans="2:7" ht="9.75">
      <c r="B49" s="233" t="s">
        <v>629</v>
      </c>
      <c r="C49" s="436">
        <v>150</v>
      </c>
      <c r="D49" s="439">
        <f>C49/$C$71</f>
        <v>1.314</v>
      </c>
      <c r="F49" s="314"/>
      <c r="G49" s="315"/>
    </row>
    <row r="50" spans="2:8" ht="9.75">
      <c r="B50" s="233" t="s">
        <v>388</v>
      </c>
      <c r="C50" s="436">
        <f>D50*$C$71</f>
        <v>635.8447488584475</v>
      </c>
      <c r="D50" s="439">
        <v>5.57</v>
      </c>
      <c r="F50" s="314"/>
      <c r="G50" s="316"/>
      <c r="H50" s="300"/>
    </row>
    <row r="51" spans="2:7" ht="9.75">
      <c r="B51" s="233" t="s">
        <v>379</v>
      </c>
      <c r="C51" s="436">
        <f>D51*$C$71</f>
        <v>472.48597779306937</v>
      </c>
      <c r="D51" s="439">
        <v>4.1389771654672876</v>
      </c>
      <c r="F51" s="314"/>
      <c r="G51" s="315"/>
    </row>
    <row r="52" spans="2:10" s="13" customFormat="1" ht="9.75">
      <c r="B52" s="234" t="s">
        <v>389</v>
      </c>
      <c r="C52" s="438">
        <f>D52*$C$71</f>
        <v>228.31050228310502</v>
      </c>
      <c r="D52" s="441">
        <v>2</v>
      </c>
      <c r="E52" s="308"/>
      <c r="F52" s="317"/>
      <c r="G52" s="302"/>
      <c r="H52" s="308"/>
      <c r="I52" s="7"/>
      <c r="J52" s="7"/>
    </row>
    <row r="53" spans="2:10" s="13" customFormat="1" ht="9.75">
      <c r="B53" s="507" t="s">
        <v>640</v>
      </c>
      <c r="C53" s="460">
        <f>C52*(1+$C$23/$C$34)</f>
        <v>264.634039518584</v>
      </c>
      <c r="D53" s="461">
        <f>D52*(1+$C$23/SUM(C9:C23))</f>
        <v>2.3341109562155666</v>
      </c>
      <c r="E53" s="308"/>
      <c r="F53" s="317"/>
      <c r="G53" s="302"/>
      <c r="H53" s="308"/>
      <c r="I53" s="7"/>
      <c r="J53" s="7"/>
    </row>
    <row r="54" spans="2:7" ht="9.75">
      <c r="B54" s="466" t="s">
        <v>636</v>
      </c>
      <c r="C54" s="460">
        <v>-150</v>
      </c>
      <c r="D54" s="461">
        <f>C54/$C$71</f>
        <v>-1.314</v>
      </c>
      <c r="F54" s="314"/>
      <c r="G54" s="318"/>
    </row>
    <row r="55" spans="2:7" ht="9.75">
      <c r="B55" s="293"/>
      <c r="C55" s="319"/>
      <c r="D55" s="320"/>
      <c r="F55" s="314"/>
      <c r="G55" s="318"/>
    </row>
    <row r="56" spans="2:7" ht="9.75">
      <c r="B56" s="1" t="s">
        <v>382</v>
      </c>
      <c r="C56" s="321"/>
      <c r="D56" s="321"/>
      <c r="F56" s="314"/>
      <c r="G56" s="315"/>
    </row>
    <row r="57" spans="2:7" ht="9.75">
      <c r="B57" s="1" t="s">
        <v>383</v>
      </c>
      <c r="F57" s="314"/>
      <c r="G57" s="315"/>
    </row>
    <row r="58" spans="2:7" ht="9.75">
      <c r="B58" s="2"/>
      <c r="F58" s="314"/>
      <c r="G58" s="315"/>
    </row>
    <row r="59" spans="2:7" ht="9.75">
      <c r="B59" s="252" t="s">
        <v>384</v>
      </c>
      <c r="C59" s="322">
        <v>60</v>
      </c>
      <c r="D59" s="323" t="s">
        <v>385</v>
      </c>
      <c r="F59" s="314"/>
      <c r="G59" s="315"/>
    </row>
    <row r="60" spans="2:4" ht="9.75">
      <c r="B60" s="2"/>
      <c r="C60" s="321"/>
      <c r="D60" s="321"/>
    </row>
    <row r="61" spans="1:4" ht="12.75">
      <c r="A61" s="253" t="s">
        <v>387</v>
      </c>
      <c r="B61" s="2"/>
      <c r="C61" s="321"/>
      <c r="D61" s="321"/>
    </row>
    <row r="62" spans="2:4" ht="9.75">
      <c r="B62" s="12"/>
      <c r="C62" s="286" t="s">
        <v>380</v>
      </c>
      <c r="D62" s="287" t="s">
        <v>381</v>
      </c>
    </row>
    <row r="63" spans="2:4" ht="9.75">
      <c r="B63" s="2"/>
      <c r="C63" s="288">
        <v>1</v>
      </c>
      <c r="D63" s="289">
        <f>12/44</f>
        <v>0.2727272727272727</v>
      </c>
    </row>
    <row r="64" spans="2:4" ht="9.75">
      <c r="B64" s="2"/>
      <c r="C64" s="321"/>
      <c r="D64" s="321"/>
    </row>
    <row r="65" spans="2:4" ht="9.75">
      <c r="B65" s="284" t="s">
        <v>79</v>
      </c>
      <c r="C65" s="280" t="s">
        <v>305</v>
      </c>
      <c r="D65" s="281" t="s">
        <v>306</v>
      </c>
    </row>
    <row r="66" spans="2:4" ht="9.75">
      <c r="B66" s="285">
        <v>1</v>
      </c>
      <c r="C66" s="282">
        <v>8760</v>
      </c>
      <c r="D66" s="283">
        <v>754</v>
      </c>
    </row>
    <row r="67" spans="2:4" ht="9.75">
      <c r="B67" s="660"/>
      <c r="C67" s="660"/>
      <c r="D67" s="660"/>
    </row>
    <row r="68" spans="2:4" ht="9.75">
      <c r="B68" s="660"/>
      <c r="C68" s="660"/>
      <c r="D68" s="660"/>
    </row>
    <row r="69" spans="2:4" ht="9.75">
      <c r="B69" s="2"/>
      <c r="C69" s="321"/>
      <c r="D69" s="321"/>
    </row>
    <row r="70" spans="3:4" ht="20.25">
      <c r="C70" s="324" t="s">
        <v>18</v>
      </c>
      <c r="D70" s="325" t="s">
        <v>108</v>
      </c>
    </row>
    <row r="71" spans="3:4" ht="9.75">
      <c r="C71" s="326">
        <f>D71*1000000/(365*24)</f>
        <v>114.15525114155251</v>
      </c>
      <c r="D71" s="327">
        <v>1</v>
      </c>
    </row>
    <row r="72" spans="3:4" ht="9.75">
      <c r="C72" s="696"/>
      <c r="D72" s="696"/>
    </row>
    <row r="73" spans="3:4" ht="9.75">
      <c r="C73" s="696"/>
      <c r="D73" s="696"/>
    </row>
    <row r="74" spans="1:4" ht="12.75">
      <c r="A74" s="695" t="s">
        <v>748</v>
      </c>
      <c r="C74" s="321"/>
      <c r="D74" s="321"/>
    </row>
    <row r="75" spans="1:4" ht="9.75">
      <c r="A75" s="251" t="s">
        <v>746</v>
      </c>
      <c r="B75" s="465" t="s">
        <v>745</v>
      </c>
      <c r="C75" s="321"/>
      <c r="D75" s="321"/>
    </row>
    <row r="76" ht="11.25">
      <c r="B76" s="12"/>
    </row>
    <row r="77" spans="2:4" ht="11.25">
      <c r="B77" s="2"/>
      <c r="C77" s="321"/>
      <c r="D77" s="321"/>
    </row>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3" spans="1:2" ht="9.75">
      <c r="A173" s="251" t="s">
        <v>746</v>
      </c>
      <c r="B173" s="465" t="s">
        <v>745</v>
      </c>
    </row>
    <row r="174" spans="1:2" ht="9.75">
      <c r="A174" s="12" t="s">
        <v>747</v>
      </c>
      <c r="B174" s="11" t="s">
        <v>744</v>
      </c>
    </row>
  </sheetData>
  <mergeCells count="7">
    <mergeCell ref="J7:K7"/>
    <mergeCell ref="E25:F25"/>
    <mergeCell ref="G25:H25"/>
    <mergeCell ref="A3:A8"/>
    <mergeCell ref="A18:A20"/>
    <mergeCell ref="C25:D25"/>
    <mergeCell ref="A9:A17"/>
  </mergeCells>
  <printOptions/>
  <pageMargins left="0.7875" right="0.7875" top="1.0527777777777778" bottom="1.0527777777777778" header="0.7875" footer="0.7875"/>
  <pageSetup horizontalDpi="300" verticalDpi="300" orientation="portrait" paperSize="9" r:id="rId2"/>
  <headerFooter alignWithMargins="0">
    <oddHeader>&amp;C&amp;"Times New Roman,Regular"&amp;12&amp;A</oddHeader>
    <oddFooter>&amp;C&amp;"Times New Roman,Regular"&amp;12Page &amp;P</oddFooter>
  </headerFooter>
  <drawing r:id="rId1"/>
</worksheet>
</file>

<file path=xl/worksheets/sheet3.xml><?xml version="1.0" encoding="utf-8"?>
<worksheet xmlns="http://schemas.openxmlformats.org/spreadsheetml/2006/main" xmlns:r="http://schemas.openxmlformats.org/officeDocument/2006/relationships">
  <dimension ref="A1:P34"/>
  <sheetViews>
    <sheetView workbookViewId="0" topLeftCell="A1">
      <selection activeCell="A1" sqref="A1"/>
    </sheetView>
  </sheetViews>
  <sheetFormatPr defaultColWidth="9.140625" defaultRowHeight="12.75"/>
  <cols>
    <col min="1" max="1" width="25.57421875" style="0" customWidth="1"/>
    <col min="2" max="3" width="11.28125" style="0" customWidth="1"/>
    <col min="4" max="4" width="12.421875" style="0" customWidth="1"/>
    <col min="5" max="5" width="12.28125" style="0" bestFit="1" customWidth="1"/>
    <col min="15" max="15" width="9.28125" style="0" bestFit="1" customWidth="1"/>
  </cols>
  <sheetData>
    <row r="1" spans="1:4" ht="18">
      <c r="A1" s="405" t="s">
        <v>457</v>
      </c>
      <c r="B1" s="387"/>
      <c r="C1" s="387"/>
      <c r="D1" s="387"/>
    </row>
    <row r="2" spans="1:4" ht="12.75">
      <c r="A2" s="237"/>
      <c r="B2" s="237"/>
      <c r="C2" s="237"/>
      <c r="D2" s="237"/>
    </row>
    <row r="4" spans="1:16" ht="12.75">
      <c r="A4" s="597"/>
      <c r="B4" s="706" t="s">
        <v>81</v>
      </c>
      <c r="C4" s="708"/>
      <c r="D4" s="707"/>
      <c r="E4" s="708" t="s">
        <v>15</v>
      </c>
      <c r="F4" s="708"/>
      <c r="G4" s="708"/>
      <c r="H4" s="706" t="s">
        <v>84</v>
      </c>
      <c r="I4" s="707"/>
      <c r="J4" s="598"/>
      <c r="K4" s="706" t="s">
        <v>518</v>
      </c>
      <c r="L4" s="708"/>
      <c r="M4" s="708"/>
      <c r="N4" s="708"/>
      <c r="O4" s="708"/>
      <c r="P4" s="707"/>
    </row>
    <row r="5" spans="1:16" ht="12.75">
      <c r="A5" s="599"/>
      <c r="B5" s="599" t="s">
        <v>666</v>
      </c>
      <c r="C5" s="592" t="s">
        <v>467</v>
      </c>
      <c r="D5" s="593" t="s">
        <v>466</v>
      </c>
      <c r="E5" s="592" t="s">
        <v>666</v>
      </c>
      <c r="F5" s="592" t="s">
        <v>467</v>
      </c>
      <c r="G5" s="592" t="s">
        <v>466</v>
      </c>
      <c r="H5" s="594" t="s">
        <v>467</v>
      </c>
      <c r="I5" s="593" t="s">
        <v>466</v>
      </c>
      <c r="J5" s="598"/>
      <c r="K5" s="599"/>
      <c r="L5" s="592" t="s">
        <v>507</v>
      </c>
      <c r="M5" s="592" t="s">
        <v>513</v>
      </c>
      <c r="N5" s="592" t="s">
        <v>512</v>
      </c>
      <c r="O5" s="592" t="s">
        <v>511</v>
      </c>
      <c r="P5" s="593" t="s">
        <v>15</v>
      </c>
    </row>
    <row r="6" spans="1:16" ht="12.75">
      <c r="A6" s="600" t="s">
        <v>458</v>
      </c>
      <c r="B6" s="600">
        <f aca="true" t="shared" si="0" ref="B6:B16">E6*365*24/1000</f>
        <v>56.87015945330296</v>
      </c>
      <c r="C6" s="682">
        <f aca="true" t="shared" si="1" ref="C6:D16">F6*365*24/1000</f>
        <v>43.8</v>
      </c>
      <c r="D6" s="683">
        <f t="shared" si="1"/>
        <v>438</v>
      </c>
      <c r="E6" s="255">
        <v>6.492027334851937</v>
      </c>
      <c r="F6" s="255">
        <f>60*H6/24</f>
        <v>5</v>
      </c>
      <c r="G6" s="592">
        <f>60*I6/24</f>
        <v>50</v>
      </c>
      <c r="H6" s="594">
        <v>2</v>
      </c>
      <c r="I6" s="601">
        <v>20</v>
      </c>
      <c r="J6" s="598"/>
      <c r="K6" s="599" t="s">
        <v>0</v>
      </c>
      <c r="L6" s="592">
        <v>2</v>
      </c>
      <c r="M6" s="592">
        <v>400</v>
      </c>
      <c r="N6" s="592">
        <f>L6*M6/1000</f>
        <v>0.8</v>
      </c>
      <c r="O6" s="592">
        <f>M6*60</f>
        <v>24000</v>
      </c>
      <c r="P6" s="593">
        <f>N6*60</f>
        <v>48</v>
      </c>
    </row>
    <row r="7" spans="1:16" ht="12.75">
      <c r="A7" s="600" t="s">
        <v>459</v>
      </c>
      <c r="B7" s="600">
        <f t="shared" si="0"/>
        <v>99.77220956719817</v>
      </c>
      <c r="C7" s="682">
        <f t="shared" si="1"/>
        <v>140.16</v>
      </c>
      <c r="D7" s="683">
        <f t="shared" si="1"/>
        <v>350.4</v>
      </c>
      <c r="E7" s="255">
        <v>11.389521640091116</v>
      </c>
      <c r="F7" s="255">
        <f>60*H7/24</f>
        <v>16</v>
      </c>
      <c r="G7" s="592">
        <f>60*I7/24</f>
        <v>40</v>
      </c>
      <c r="H7" s="594">
        <v>6.4</v>
      </c>
      <c r="I7" s="601">
        <v>16</v>
      </c>
      <c r="J7" s="598"/>
      <c r="K7" s="599" t="s">
        <v>510</v>
      </c>
      <c r="L7" s="592">
        <v>3.2</v>
      </c>
      <c r="M7" s="592"/>
      <c r="N7" s="592"/>
      <c r="O7" s="592">
        <f>13000/3</f>
        <v>4333.333333333333</v>
      </c>
      <c r="P7" s="593">
        <f>L7*O7/1000</f>
        <v>13.866666666666665</v>
      </c>
    </row>
    <row r="8" spans="1:16" ht="12.75">
      <c r="A8" s="600" t="s">
        <v>508</v>
      </c>
      <c r="B8" s="600">
        <f t="shared" si="0"/>
        <v>0</v>
      </c>
      <c r="C8" s="682">
        <f t="shared" si="1"/>
        <v>0</v>
      </c>
      <c r="D8" s="683">
        <f t="shared" si="1"/>
        <v>0</v>
      </c>
      <c r="E8" s="255"/>
      <c r="F8" s="255"/>
      <c r="G8" s="592"/>
      <c r="H8" s="594"/>
      <c r="I8" s="601"/>
      <c r="J8" s="598"/>
      <c r="K8" s="599" t="s">
        <v>508</v>
      </c>
      <c r="L8" s="592">
        <f>1000*(1/4)*(1/3)*(60%)</f>
        <v>49.99999999999999</v>
      </c>
      <c r="M8" s="592">
        <v>2</v>
      </c>
      <c r="N8" s="592">
        <f>L8*M8/1000</f>
        <v>0.09999999999999999</v>
      </c>
      <c r="O8" s="592">
        <f>M8*60</f>
        <v>120</v>
      </c>
      <c r="P8" s="593">
        <f>N8*60</f>
        <v>5.999999999999999</v>
      </c>
    </row>
    <row r="9" spans="1:16" ht="12.75">
      <c r="A9" s="600" t="s">
        <v>460</v>
      </c>
      <c r="B9" s="687">
        <f t="shared" si="0"/>
        <v>0.498861047835991</v>
      </c>
      <c r="C9" s="682">
        <f t="shared" si="1"/>
        <v>262.8</v>
      </c>
      <c r="D9" s="683">
        <f t="shared" si="1"/>
        <v>109.5</v>
      </c>
      <c r="E9" s="255">
        <v>0.056947608200455586</v>
      </c>
      <c r="F9" s="255">
        <f aca="true" t="shared" si="2" ref="F9:G16">60*H9/24</f>
        <v>30</v>
      </c>
      <c r="G9" s="592">
        <f t="shared" si="2"/>
        <v>12.5</v>
      </c>
      <c r="H9" s="594">
        <v>12</v>
      </c>
      <c r="I9" s="593">
        <v>5</v>
      </c>
      <c r="J9" s="598"/>
      <c r="K9" s="599" t="s">
        <v>4</v>
      </c>
      <c r="L9" s="592">
        <f>1000*(1/4)*(1/3)*(60%)*(20%)</f>
        <v>10</v>
      </c>
      <c r="M9" s="592">
        <v>2</v>
      </c>
      <c r="N9" s="592">
        <f>L9*M9/1000</f>
        <v>0.02</v>
      </c>
      <c r="O9" s="592">
        <f>M9*60</f>
        <v>120</v>
      </c>
      <c r="P9" s="593">
        <f>N9*60</f>
        <v>1.2</v>
      </c>
    </row>
    <row r="10" spans="1:16" ht="12.75">
      <c r="A10" s="599" t="s">
        <v>464</v>
      </c>
      <c r="B10" s="600">
        <f t="shared" si="0"/>
        <v>1.995444191343964</v>
      </c>
      <c r="C10" s="682">
        <f t="shared" si="1"/>
        <v>52.56</v>
      </c>
      <c r="D10" s="683">
        <f t="shared" si="1"/>
        <v>306.6</v>
      </c>
      <c r="E10" s="255">
        <v>0.22779043280182235</v>
      </c>
      <c r="F10" s="255">
        <f t="shared" si="2"/>
        <v>6</v>
      </c>
      <c r="G10" s="592">
        <f t="shared" si="2"/>
        <v>35</v>
      </c>
      <c r="H10" s="594">
        <v>2.4</v>
      </c>
      <c r="I10" s="593">
        <v>14</v>
      </c>
      <c r="J10" s="598"/>
      <c r="K10" s="599"/>
      <c r="L10" s="592"/>
      <c r="M10" s="592"/>
      <c r="N10" s="592"/>
      <c r="O10" s="592"/>
      <c r="P10" s="593"/>
    </row>
    <row r="11" spans="1:16" ht="12.75">
      <c r="A11" s="600" t="s">
        <v>403</v>
      </c>
      <c r="B11" s="600">
        <f t="shared" si="0"/>
        <v>0</v>
      </c>
      <c r="C11" s="682">
        <f t="shared" si="1"/>
        <v>0</v>
      </c>
      <c r="D11" s="683">
        <f t="shared" si="1"/>
        <v>43.8</v>
      </c>
      <c r="E11" s="255"/>
      <c r="F11" s="255">
        <f t="shared" si="2"/>
        <v>0</v>
      </c>
      <c r="G11" s="592">
        <f t="shared" si="2"/>
        <v>5</v>
      </c>
      <c r="H11" s="594"/>
      <c r="I11" s="593">
        <v>2</v>
      </c>
      <c r="J11" s="598"/>
      <c r="K11" s="599"/>
      <c r="L11" s="592"/>
      <c r="M11" s="592"/>
      <c r="N11" s="592"/>
      <c r="O11" s="592"/>
      <c r="P11" s="593"/>
    </row>
    <row r="12" spans="1:16" ht="12.75">
      <c r="A12" s="599" t="s">
        <v>516</v>
      </c>
      <c r="B12" s="600">
        <f t="shared" si="0"/>
        <v>32.92482915717541</v>
      </c>
      <c r="C12" s="682">
        <f t="shared" si="1"/>
        <v>197.1</v>
      </c>
      <c r="D12" s="683">
        <f t="shared" si="1"/>
        <v>131.4</v>
      </c>
      <c r="E12" s="255">
        <v>3.758542141230069</v>
      </c>
      <c r="F12" s="255">
        <f t="shared" si="2"/>
        <v>22.5</v>
      </c>
      <c r="G12" s="592">
        <f t="shared" si="2"/>
        <v>15</v>
      </c>
      <c r="H12" s="594">
        <v>9</v>
      </c>
      <c r="I12" s="593">
        <v>6</v>
      </c>
      <c r="J12" s="598"/>
      <c r="K12" s="599" t="s">
        <v>509</v>
      </c>
      <c r="L12" s="592">
        <v>0.5</v>
      </c>
      <c r="M12" s="592">
        <v>400</v>
      </c>
      <c r="N12" s="592">
        <f>L12*M12/1000</f>
        <v>0.2</v>
      </c>
      <c r="O12" s="592">
        <f>M12*60</f>
        <v>24000</v>
      </c>
      <c r="P12" s="593">
        <f>N12*60</f>
        <v>12</v>
      </c>
    </row>
    <row r="13" spans="1:16" ht="12.75">
      <c r="A13" s="600" t="s">
        <v>461</v>
      </c>
      <c r="B13" s="600">
        <f t="shared" si="0"/>
        <v>18.95671981776766</v>
      </c>
      <c r="C13" s="682">
        <f t="shared" si="1"/>
        <v>0</v>
      </c>
      <c r="D13" s="683">
        <f t="shared" si="1"/>
        <v>0</v>
      </c>
      <c r="E13" s="255">
        <v>2.1640091116173124</v>
      </c>
      <c r="F13" s="255">
        <f t="shared" si="2"/>
        <v>0</v>
      </c>
      <c r="G13" s="592">
        <f t="shared" si="2"/>
        <v>0</v>
      </c>
      <c r="H13" s="594"/>
      <c r="I13" s="593"/>
      <c r="J13" s="598"/>
      <c r="K13" s="599"/>
      <c r="L13" s="592"/>
      <c r="M13" s="592"/>
      <c r="N13" s="592"/>
      <c r="O13" s="592"/>
      <c r="P13" s="593"/>
    </row>
    <row r="14" spans="1:16" ht="12.75">
      <c r="A14" s="600" t="s">
        <v>462</v>
      </c>
      <c r="B14" s="600">
        <f t="shared" si="0"/>
        <v>6.984054669703872</v>
      </c>
      <c r="C14" s="682">
        <f t="shared" si="1"/>
        <v>0</v>
      </c>
      <c r="D14" s="683">
        <f t="shared" si="1"/>
        <v>0</v>
      </c>
      <c r="E14" s="255">
        <v>0.7972665148063782</v>
      </c>
      <c r="F14" s="255">
        <f t="shared" si="2"/>
        <v>0</v>
      </c>
      <c r="G14" s="592">
        <f t="shared" si="2"/>
        <v>0</v>
      </c>
      <c r="H14" s="594"/>
      <c r="I14" s="593"/>
      <c r="J14" s="598"/>
      <c r="K14" s="599"/>
      <c r="L14" s="592"/>
      <c r="M14" s="592"/>
      <c r="N14" s="592"/>
      <c r="O14" s="592"/>
      <c r="P14" s="593"/>
    </row>
    <row r="15" spans="1:16" ht="12.75">
      <c r="A15" s="599" t="s">
        <v>463</v>
      </c>
      <c r="B15" s="600">
        <f t="shared" si="0"/>
        <v>6.984054669703872</v>
      </c>
      <c r="C15" s="682">
        <f t="shared" si="1"/>
        <v>0</v>
      </c>
      <c r="D15" s="683">
        <f t="shared" si="1"/>
        <v>0</v>
      </c>
      <c r="E15" s="255">
        <v>0.7972665148063782</v>
      </c>
      <c r="F15" s="255">
        <f t="shared" si="2"/>
        <v>0</v>
      </c>
      <c r="G15" s="592">
        <f t="shared" si="2"/>
        <v>0</v>
      </c>
      <c r="H15" s="594"/>
      <c r="I15" s="593"/>
      <c r="J15" s="598"/>
      <c r="K15" s="599"/>
      <c r="L15" s="592"/>
      <c r="M15" s="592"/>
      <c r="N15" s="592"/>
      <c r="O15" s="592"/>
      <c r="P15" s="593"/>
    </row>
    <row r="16" spans="1:16" ht="12.75">
      <c r="A16" s="599" t="s">
        <v>465</v>
      </c>
      <c r="B16" s="600">
        <f t="shared" si="0"/>
        <v>32.92482915717541</v>
      </c>
      <c r="C16" s="682">
        <f t="shared" si="1"/>
        <v>50.37</v>
      </c>
      <c r="D16" s="683">
        <f>G16*(65*24/1000)</f>
        <v>6.24</v>
      </c>
      <c r="E16" s="255">
        <v>3.758542141230069</v>
      </c>
      <c r="F16" s="255">
        <f t="shared" si="2"/>
        <v>5.75</v>
      </c>
      <c r="G16" s="592">
        <f t="shared" si="2"/>
        <v>4</v>
      </c>
      <c r="H16" s="594">
        <v>2.3</v>
      </c>
      <c r="I16" s="593">
        <v>1.6</v>
      </c>
      <c r="J16" s="598"/>
      <c r="K16" s="599"/>
      <c r="L16" s="592"/>
      <c r="M16" s="592"/>
      <c r="N16" s="592"/>
      <c r="O16" s="592"/>
      <c r="P16" s="593"/>
    </row>
    <row r="17" spans="1:16" ht="12.75">
      <c r="A17" s="602" t="s">
        <v>738</v>
      </c>
      <c r="B17" s="684"/>
      <c r="C17" s="685">
        <v>210</v>
      </c>
      <c r="D17" s="686"/>
      <c r="E17" s="596"/>
      <c r="F17" s="596">
        <f>C17/(365*24/1000)</f>
        <v>23.972602739726028</v>
      </c>
      <c r="G17" s="603"/>
      <c r="H17" s="595"/>
      <c r="I17" s="604"/>
      <c r="J17" s="598"/>
      <c r="K17" s="602"/>
      <c r="L17" s="603"/>
      <c r="M17" s="603"/>
      <c r="N17" s="603"/>
      <c r="O17" s="603"/>
      <c r="P17" s="604"/>
    </row>
    <row r="18" ht="12.75">
      <c r="G18" s="368"/>
    </row>
    <row r="20" ht="12.75">
      <c r="G20" s="369"/>
    </row>
    <row r="34" ht="12.75">
      <c r="A34" s="237" t="s">
        <v>739</v>
      </c>
    </row>
  </sheetData>
  <mergeCells count="4">
    <mergeCell ref="H4:I4"/>
    <mergeCell ref="E4:G4"/>
    <mergeCell ref="K4:P4"/>
    <mergeCell ref="B4:D4"/>
  </mergeCells>
  <printOptions/>
  <pageMargins left="0.75" right="0.75" top="1" bottom="1" header="0.5" footer="0.5"/>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K40"/>
  <sheetViews>
    <sheetView workbookViewId="0" topLeftCell="A1">
      <selection activeCell="A1" sqref="A1"/>
    </sheetView>
  </sheetViews>
  <sheetFormatPr defaultColWidth="9.140625" defaultRowHeight="12.75"/>
  <cols>
    <col min="1" max="1" width="8.8515625" style="262" customWidth="1"/>
    <col min="2" max="2" width="24.7109375" style="262" bestFit="1" customWidth="1"/>
    <col min="3" max="6" width="14.00390625" style="262" customWidth="1"/>
    <col min="7" max="16384" width="8.8515625" style="262" customWidth="1"/>
  </cols>
  <sheetData>
    <row r="1" spans="1:11" s="256" customFormat="1" ht="15">
      <c r="A1" s="694" t="s">
        <v>334</v>
      </c>
      <c r="B1" s="258"/>
      <c r="C1" s="258"/>
      <c r="D1" s="247"/>
      <c r="E1" s="247"/>
      <c r="H1" s="259"/>
      <c r="I1" s="259"/>
      <c r="J1" s="259"/>
      <c r="K1" s="259"/>
    </row>
    <row r="2" spans="1:11" s="256" customFormat="1" ht="12.75">
      <c r="A2" s="258"/>
      <c r="B2" s="258"/>
      <c r="C2" s="248" t="s">
        <v>371</v>
      </c>
      <c r="D2" s="269" t="s">
        <v>370</v>
      </c>
      <c r="E2" s="269" t="s">
        <v>6</v>
      </c>
      <c r="F2" s="267" t="s">
        <v>373</v>
      </c>
      <c r="H2" s="259"/>
      <c r="I2" s="259"/>
      <c r="J2" s="259"/>
      <c r="K2" s="259"/>
    </row>
    <row r="3" spans="1:11" s="256" customFormat="1" ht="12.75">
      <c r="A3" s="267" t="s">
        <v>17</v>
      </c>
      <c r="B3" s="258"/>
      <c r="C3" s="258"/>
      <c r="H3" s="259"/>
      <c r="I3" s="259"/>
      <c r="J3" s="259"/>
      <c r="K3" s="259"/>
    </row>
    <row r="4" spans="2:11" s="256" customFormat="1" ht="9.75">
      <c r="B4" s="256" t="s">
        <v>109</v>
      </c>
      <c r="C4" s="256">
        <v>42.013838540617265</v>
      </c>
      <c r="D4" s="256">
        <v>14.688012636313392</v>
      </c>
      <c r="E4" s="247">
        <f>C4*'Appendix-Exact_Calculations'!$D$45</f>
        <v>121.45360445321639</v>
      </c>
      <c r="F4" s="256">
        <f>E4/D4</f>
        <v>8.268892971466054</v>
      </c>
      <c r="H4" s="259"/>
      <c r="I4" s="259"/>
      <c r="J4" s="259"/>
      <c r="K4" s="259"/>
    </row>
    <row r="5" spans="2:11" s="256" customFormat="1" ht="9.75">
      <c r="B5" s="256" t="s">
        <v>335</v>
      </c>
      <c r="C5" s="256">
        <v>1.0979463470319635</v>
      </c>
      <c r="D5" s="256">
        <v>0.5392133037008966</v>
      </c>
      <c r="E5" s="247">
        <f>C5*'Appendix-Exact_Calculations'!D46</f>
        <v>2.4045025</v>
      </c>
      <c r="F5" s="256">
        <f>E5/D5</f>
        <v>4.459278885548019</v>
      </c>
      <c r="H5" s="259"/>
      <c r="I5" s="259"/>
      <c r="J5" s="259"/>
      <c r="K5" s="259"/>
    </row>
    <row r="6" spans="2:11" s="256" customFormat="1" ht="9.75">
      <c r="B6" s="256" t="s">
        <v>110</v>
      </c>
      <c r="C6" s="256">
        <v>33.7491820032741</v>
      </c>
      <c r="D6" s="256">
        <v>17.09855714474886</v>
      </c>
      <c r="E6" s="247">
        <f>C6*'Appendix-Exact_Calculations'!D47</f>
        <v>56.17213852624942</v>
      </c>
      <c r="F6" s="256">
        <f>E6/D6</f>
        <v>3.285197578410904</v>
      </c>
      <c r="H6" s="259"/>
      <c r="I6" s="259"/>
      <c r="J6" s="259"/>
      <c r="K6" s="259"/>
    </row>
    <row r="7" spans="2:11" s="256" customFormat="1" ht="9.75">
      <c r="B7" s="290" t="s">
        <v>339</v>
      </c>
      <c r="C7" s="290">
        <f>SUM(C4:C6)</f>
        <v>76.86096689092332</v>
      </c>
      <c r="D7" s="290">
        <f>SUM(D4:D6)</f>
        <v>32.325783084763145</v>
      </c>
      <c r="E7" s="257">
        <f>SUM(E4:E6)</f>
        <v>180.0302454794658</v>
      </c>
      <c r="F7" s="290">
        <f>E7/D7</f>
        <v>5.569246226994687</v>
      </c>
      <c r="H7" s="259"/>
      <c r="I7" s="259"/>
      <c r="J7" s="259"/>
      <c r="K7" s="259"/>
    </row>
    <row r="8" spans="1:11" s="256" customFormat="1" ht="12.75">
      <c r="A8" s="267" t="s">
        <v>337</v>
      </c>
      <c r="B8" s="258"/>
      <c r="C8" s="258"/>
      <c r="D8" s="247"/>
      <c r="E8" s="247"/>
      <c r="H8" s="259"/>
      <c r="I8" s="259"/>
      <c r="J8" s="259"/>
      <c r="K8" s="259"/>
    </row>
    <row r="9" spans="2:11" s="256" customFormat="1" ht="9.75">
      <c r="B9" s="247" t="s">
        <v>331</v>
      </c>
      <c r="C9" s="247"/>
      <c r="D9" s="250">
        <v>0.5663086757990868</v>
      </c>
      <c r="E9" s="261">
        <f>D9*'Appendix-Exact_Calculations'!$D$48</f>
        <v>0.07937382400000001</v>
      </c>
      <c r="F9" s="290"/>
      <c r="H9" s="259"/>
      <c r="I9" s="259"/>
      <c r="J9" s="259"/>
      <c r="K9" s="259"/>
    </row>
    <row r="10" spans="2:11" s="256" customFormat="1" ht="9.75">
      <c r="B10" s="247" t="s">
        <v>332</v>
      </c>
      <c r="C10" s="247"/>
      <c r="D10" s="250">
        <v>1.0981863013698634</v>
      </c>
      <c r="E10" s="261">
        <f>D10*'Appendix-Exact_Calculations'!$D$48</f>
        <v>0.15392179200000006</v>
      </c>
      <c r="F10" s="290"/>
      <c r="H10" s="259"/>
      <c r="I10" s="259"/>
      <c r="J10" s="259"/>
      <c r="K10" s="259"/>
    </row>
    <row r="11" spans="2:11" s="256" customFormat="1" ht="9.75">
      <c r="B11" s="247" t="s">
        <v>330</v>
      </c>
      <c r="C11" s="247"/>
      <c r="D11" s="254">
        <v>8.581368493150684</v>
      </c>
      <c r="E11" s="261">
        <f>D11*'Appendix-Exact_Calculations'!$D$48</f>
        <v>1.2027646079999998</v>
      </c>
      <c r="F11" s="290"/>
      <c r="H11" s="259"/>
      <c r="I11" s="259"/>
      <c r="J11" s="259"/>
      <c r="K11" s="259"/>
    </row>
    <row r="12" spans="2:11" s="256" customFormat="1" ht="9.75">
      <c r="B12" s="247" t="s">
        <v>377</v>
      </c>
      <c r="C12" s="247"/>
      <c r="D12" s="250">
        <v>0.3328995433789954</v>
      </c>
      <c r="E12" s="261">
        <f>D12*'Appendix-Exact_Calculations'!$D$48</f>
        <v>0.0466592</v>
      </c>
      <c r="F12" s="290"/>
      <c r="H12" s="259"/>
      <c r="I12" s="259"/>
      <c r="J12" s="259"/>
      <c r="K12" s="259"/>
    </row>
    <row r="13" spans="2:11" s="256" customFormat="1" ht="9.75">
      <c r="B13" s="247" t="s">
        <v>378</v>
      </c>
      <c r="C13" s="247"/>
      <c r="D13" s="250">
        <v>0.95</v>
      </c>
      <c r="E13" s="261">
        <f>D13*'Appendix-Exact_Calculations'!$D$48</f>
        <v>0.133152</v>
      </c>
      <c r="F13" s="290"/>
      <c r="H13" s="259"/>
      <c r="I13" s="259"/>
      <c r="J13" s="259"/>
      <c r="K13" s="259"/>
    </row>
    <row r="14" spans="2:11" s="256" customFormat="1" ht="9.75">
      <c r="B14" s="290" t="s">
        <v>339</v>
      </c>
      <c r="C14" s="290"/>
      <c r="D14" s="291">
        <f>SUM(D9:D13)</f>
        <v>11.52876301369863</v>
      </c>
      <c r="E14" s="291">
        <f>D14*'Appendix-Exact_Calculations'!$D$48</f>
        <v>1.615871424</v>
      </c>
      <c r="F14" s="290"/>
      <c r="H14" s="259"/>
      <c r="I14" s="259"/>
      <c r="J14" s="259"/>
      <c r="K14" s="259"/>
    </row>
    <row r="15" spans="4:11" s="256" customFormat="1" ht="9.75">
      <c r="D15" s="261"/>
      <c r="E15" s="261"/>
      <c r="H15" s="259"/>
      <c r="I15" s="259"/>
      <c r="J15" s="259"/>
      <c r="K15" s="259"/>
    </row>
    <row r="16" spans="1:11" s="256" customFormat="1" ht="9.75">
      <c r="A16" s="267" t="s">
        <v>348</v>
      </c>
      <c r="D16" s="279">
        <f>D14+D7</f>
        <v>43.854546098461775</v>
      </c>
      <c r="E16" s="279">
        <f>D16*'Appendix-Exact_Calculations'!$D$48</f>
        <v>6.146653181160403</v>
      </c>
      <c r="H16" s="259"/>
      <c r="I16" s="259"/>
      <c r="J16" s="259"/>
      <c r="K16" s="259"/>
    </row>
    <row r="17" spans="4:11" s="256" customFormat="1" ht="9.75">
      <c r="D17" s="279"/>
      <c r="E17" s="261"/>
      <c r="H17" s="259"/>
      <c r="I17" s="259"/>
      <c r="J17" s="259"/>
      <c r="K17" s="259"/>
    </row>
    <row r="18" spans="1:11" s="256" customFormat="1" ht="9.75">
      <c r="A18" s="267" t="s">
        <v>338</v>
      </c>
      <c r="B18" s="247"/>
      <c r="C18" s="247"/>
      <c r="D18" s="247"/>
      <c r="E18" s="247"/>
      <c r="H18" s="259"/>
      <c r="I18" s="259"/>
      <c r="J18" s="259"/>
      <c r="K18" s="259"/>
    </row>
    <row r="19" spans="2:11" s="256" customFormat="1" ht="9.75">
      <c r="B19" s="247" t="s">
        <v>0</v>
      </c>
      <c r="C19" s="247"/>
      <c r="D19" s="256">
        <f>SUM(Form!P28:P28)</f>
        <v>0</v>
      </c>
      <c r="E19" s="261">
        <f>D19*'Appendix-Exact_Calculations'!$D$48</f>
        <v>0</v>
      </c>
      <c r="F19" s="290"/>
      <c r="H19" s="259"/>
      <c r="I19" s="259"/>
      <c r="J19" s="259"/>
      <c r="K19" s="259"/>
    </row>
    <row r="20" spans="2:11" s="256" customFormat="1" ht="9.75">
      <c r="B20" s="247" t="s">
        <v>333</v>
      </c>
      <c r="C20" s="247"/>
      <c r="D20" s="256">
        <f>Form!P30</f>
        <v>0</v>
      </c>
      <c r="E20" s="261">
        <f>D20*'Appendix-Exact_Calculations'!$D$48</f>
        <v>0</v>
      </c>
      <c r="F20" s="290"/>
      <c r="H20" s="259"/>
      <c r="I20" s="259"/>
      <c r="J20" s="259"/>
      <c r="K20" s="259"/>
    </row>
    <row r="21" spans="2:11" s="256" customFormat="1" ht="9.75">
      <c r="B21" s="247" t="s">
        <v>2</v>
      </c>
      <c r="C21" s="247"/>
      <c r="D21" s="256">
        <f>Form!P26</f>
        <v>0</v>
      </c>
      <c r="E21" s="261">
        <f>D21*'Appendix-Exact_Calculations'!$D$48</f>
        <v>0</v>
      </c>
      <c r="F21" s="290"/>
      <c r="H21" s="259"/>
      <c r="I21" s="259"/>
      <c r="J21" s="259"/>
      <c r="K21" s="259"/>
    </row>
    <row r="22" spans="2:11" s="256" customFormat="1" ht="9.75">
      <c r="B22" s="247" t="s">
        <v>3</v>
      </c>
      <c r="C22" s="247"/>
      <c r="D22" s="256">
        <f>SUM(Form!P23:P30)</f>
        <v>0</v>
      </c>
      <c r="E22" s="261">
        <f>D22*'Appendix-Exact_Calculations'!$D$48</f>
        <v>0</v>
      </c>
      <c r="F22" s="290"/>
      <c r="H22" s="259"/>
      <c r="I22" s="259"/>
      <c r="J22" s="259"/>
      <c r="K22" s="259"/>
    </row>
    <row r="23" spans="2:11" s="256" customFormat="1" ht="9.75">
      <c r="B23" s="247" t="s">
        <v>4</v>
      </c>
      <c r="C23" s="247"/>
      <c r="D23" s="256">
        <f>Form!P29</f>
        <v>0</v>
      </c>
      <c r="E23" s="261">
        <f>D23*'Appendix-Exact_Calculations'!$D$48</f>
        <v>0</v>
      </c>
      <c r="F23" s="290"/>
      <c r="H23" s="259"/>
      <c r="I23" s="259"/>
      <c r="J23" s="259"/>
      <c r="K23" s="259"/>
    </row>
    <row r="24" spans="2:11" s="256" customFormat="1" ht="9.75">
      <c r="B24" s="247" t="s">
        <v>329</v>
      </c>
      <c r="C24" s="247"/>
      <c r="D24" s="256">
        <f>Form!P29</f>
        <v>0</v>
      </c>
      <c r="E24" s="261">
        <f>D24*'Appendix-Exact_Calculations'!$D$45*15%</f>
        <v>0</v>
      </c>
      <c r="F24" s="290"/>
      <c r="H24" s="259"/>
      <c r="I24" s="259"/>
      <c r="J24" s="259"/>
      <c r="K24" s="259"/>
    </row>
    <row r="25" spans="2:11" s="256" customFormat="1" ht="9.75">
      <c r="B25" s="256" t="s">
        <v>363</v>
      </c>
      <c r="D25" s="256">
        <f>SUM(D19:D24)</f>
        <v>0</v>
      </c>
      <c r="E25" s="256">
        <f>SUM(E19:E24)</f>
        <v>0</v>
      </c>
      <c r="F25" s="290"/>
      <c r="H25" s="259"/>
      <c r="I25" s="259"/>
      <c r="J25" s="259"/>
      <c r="K25" s="259"/>
    </row>
    <row r="27" spans="1:6" ht="12.75">
      <c r="A27" s="266" t="s">
        <v>362</v>
      </c>
      <c r="B27" s="256"/>
      <c r="C27" s="248" t="s">
        <v>371</v>
      </c>
      <c r="D27" s="269"/>
      <c r="E27" s="269" t="s">
        <v>6</v>
      </c>
      <c r="F27" s="267" t="s">
        <v>372</v>
      </c>
    </row>
    <row r="28" spans="2:6" ht="12.75">
      <c r="B28" s="256" t="s">
        <v>109</v>
      </c>
      <c r="C28" s="254">
        <v>52.39223969602934</v>
      </c>
      <c r="D28" s="255"/>
      <c r="E28" s="249">
        <f>C28*'Appendix-Exact_Calculations'!D45</f>
        <v>151.4554865132816</v>
      </c>
      <c r="F28" s="255"/>
    </row>
    <row r="29" spans="2:6" ht="12.75">
      <c r="B29" s="256" t="s">
        <v>112</v>
      </c>
      <c r="C29" s="261">
        <v>102.56237501888371</v>
      </c>
      <c r="D29" s="255"/>
      <c r="E29" s="249">
        <f>C29*'Appendix-Exact_Calculations'!D46</f>
        <v>224.61160129135533</v>
      </c>
      <c r="F29" s="255"/>
    </row>
    <row r="30" spans="2:6" ht="12.75">
      <c r="B30" s="256" t="s">
        <v>110</v>
      </c>
      <c r="C30" s="261">
        <v>123.92872732005537</v>
      </c>
      <c r="D30" s="255"/>
      <c r="E30" s="249">
        <f>C30*'Appendix-Exact_Calculations'!D47</f>
        <v>206.2669737515002</v>
      </c>
      <c r="F30" s="255"/>
    </row>
    <row r="31" spans="2:6" ht="13.5" thickBot="1">
      <c r="B31" s="263" t="s">
        <v>358</v>
      </c>
      <c r="C31" s="264">
        <f>SUM(C28:C30)</f>
        <v>278.88334203496845</v>
      </c>
      <c r="D31" s="263"/>
      <c r="E31" s="263">
        <f>SUM(E28:E30)</f>
        <v>582.3340615561372</v>
      </c>
      <c r="F31" s="263">
        <f>E31/C31</f>
        <v>2.0880919502288515</v>
      </c>
    </row>
    <row r="32" spans="2:6" ht="12.75">
      <c r="B32" s="268" t="s">
        <v>369</v>
      </c>
      <c r="C32" s="265"/>
      <c r="D32" s="255"/>
      <c r="E32" s="255"/>
      <c r="F32" s="255"/>
    </row>
    <row r="33" spans="2:11" s="256" customFormat="1" ht="9.75">
      <c r="B33" s="255" t="s">
        <v>359</v>
      </c>
      <c r="C33" s="255">
        <f>C7</f>
        <v>76.86096689092332</v>
      </c>
      <c r="D33" s="255"/>
      <c r="E33" s="255">
        <f>E7</f>
        <v>180.0302454794658</v>
      </c>
      <c r="F33" s="255"/>
      <c r="H33" s="259"/>
      <c r="I33" s="259"/>
      <c r="J33" s="259"/>
      <c r="K33" s="259"/>
    </row>
    <row r="34" spans="2:6" ht="12.75">
      <c r="B34" s="256" t="s">
        <v>360</v>
      </c>
      <c r="C34" s="256">
        <v>33.74894446815841</v>
      </c>
      <c r="D34" s="255"/>
      <c r="E34" s="256">
        <f>C34*'Appendix-Exact_Calculations'!$D$52</f>
        <v>67.49788893631683</v>
      </c>
      <c r="F34" s="255"/>
    </row>
    <row r="35" spans="2:6" ht="12.75">
      <c r="B35" s="256" t="s">
        <v>366</v>
      </c>
      <c r="C35" s="260">
        <v>168.27343067588671</v>
      </c>
      <c r="D35" s="255"/>
      <c r="E35" s="255">
        <f>E31-E33-E34</f>
        <v>334.8059271403545</v>
      </c>
      <c r="F35" s="255">
        <f>E35/C35</f>
        <v>1.9896541349134782</v>
      </c>
    </row>
    <row r="37" ht="12.75">
      <c r="A37" s="266" t="s">
        <v>367</v>
      </c>
    </row>
    <row r="38" spans="2:3" ht="12.75">
      <c r="B38" s="256" t="s">
        <v>7</v>
      </c>
      <c r="C38" s="256">
        <f>D16</f>
        <v>43.854546098461775</v>
      </c>
    </row>
    <row r="39" spans="2:3" ht="12.75">
      <c r="B39" s="256" t="s">
        <v>368</v>
      </c>
      <c r="C39" s="256">
        <f>C35</f>
        <v>168.27343067588671</v>
      </c>
    </row>
    <row r="40" spans="2:3" ht="13.5" thickBot="1">
      <c r="B40" s="263" t="s">
        <v>364</v>
      </c>
      <c r="C40" s="263">
        <f>SUM(C38:C39)</f>
        <v>212.1279767743485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pageSetUpPr fitToPage="1"/>
  </sheetPr>
  <dimension ref="A1:AP124"/>
  <sheetViews>
    <sheetView workbookViewId="0" topLeftCell="A1">
      <selection activeCell="M20" sqref="M20"/>
    </sheetView>
  </sheetViews>
  <sheetFormatPr defaultColWidth="9.140625" defaultRowHeight="12.75"/>
  <cols>
    <col min="1" max="1" width="19.140625" style="105" customWidth="1"/>
    <col min="2" max="2" width="6.421875" style="105" customWidth="1"/>
    <col min="3" max="3" width="7.57421875" style="105" customWidth="1"/>
    <col min="4" max="4" width="7.140625" style="105" customWidth="1"/>
    <col min="5" max="5" width="9.00390625" style="105" customWidth="1"/>
    <col min="6" max="6" width="6.8515625" style="105" customWidth="1"/>
    <col min="7" max="7" width="9.57421875" style="105" customWidth="1"/>
    <col min="8" max="8" width="8.421875" style="105" customWidth="1"/>
    <col min="9" max="9" width="6.140625" style="105" customWidth="1"/>
    <col min="10" max="10" width="5.28125" style="105" customWidth="1"/>
    <col min="11" max="11" width="7.421875" style="105" customWidth="1"/>
    <col min="12" max="13" width="12.28125" style="105" customWidth="1"/>
    <col min="14" max="14" width="10.28125" style="105" customWidth="1"/>
    <col min="15" max="15" width="19.140625" style="105" customWidth="1"/>
    <col min="16" max="16" width="6.421875" style="105" customWidth="1"/>
    <col min="17" max="17" width="7.57421875" style="105" customWidth="1"/>
    <col min="18" max="18" width="7.140625" style="105" customWidth="1"/>
    <col min="19" max="19" width="9.00390625" style="105" customWidth="1"/>
    <col min="20" max="20" width="6.8515625" style="105" customWidth="1"/>
    <col min="21" max="21" width="9.57421875" style="105" customWidth="1"/>
    <col min="22" max="22" width="8.421875" style="105" customWidth="1"/>
    <col min="23" max="23" width="6.140625" style="105" customWidth="1"/>
    <col min="24" max="24" width="5.28125" style="105" customWidth="1"/>
    <col min="25" max="25" width="7.421875" style="105" customWidth="1"/>
    <col min="26" max="28" width="9.140625" style="105" customWidth="1"/>
    <col min="29" max="29" width="19.140625" style="105" customWidth="1"/>
    <col min="30" max="30" width="6.421875" style="105" customWidth="1"/>
    <col min="31" max="31" width="7.57421875" style="105" customWidth="1"/>
    <col min="32" max="32" width="7.140625" style="105" customWidth="1"/>
    <col min="33" max="33" width="9.00390625" style="105" customWidth="1"/>
    <col min="34" max="34" width="6.8515625" style="105" customWidth="1"/>
    <col min="35" max="35" width="9.57421875" style="105" customWidth="1"/>
    <col min="36" max="36" width="8.421875" style="105" customWidth="1"/>
    <col min="37" max="37" width="6.140625" style="105" customWidth="1"/>
    <col min="38" max="38" width="5.28125" style="105" customWidth="1"/>
    <col min="39" max="39" width="7.421875" style="105" customWidth="1"/>
    <col min="40" max="42" width="10.28125" style="105" customWidth="1"/>
    <col min="43" max="16384" width="9.140625" style="105" customWidth="1"/>
  </cols>
  <sheetData>
    <row r="1" spans="1:42" s="98" customFormat="1" ht="24" customHeight="1">
      <c r="A1" s="95" t="s">
        <v>199</v>
      </c>
      <c r="B1" s="96"/>
      <c r="C1" s="96"/>
      <c r="D1" s="96"/>
      <c r="E1" s="96"/>
      <c r="F1" s="96"/>
      <c r="G1" s="96"/>
      <c r="H1" s="97"/>
      <c r="J1" s="99"/>
      <c r="K1" s="203"/>
      <c r="L1" s="228" t="s">
        <v>307</v>
      </c>
      <c r="M1" s="202"/>
      <c r="N1" s="202"/>
      <c r="O1" s="95" t="s">
        <v>199</v>
      </c>
      <c r="P1" s="96"/>
      <c r="Q1" s="96"/>
      <c r="R1" s="96"/>
      <c r="S1" s="96"/>
      <c r="T1" s="96"/>
      <c r="U1" s="96"/>
      <c r="V1" s="97"/>
      <c r="X1" s="99"/>
      <c r="AC1" s="95" t="s">
        <v>199</v>
      </c>
      <c r="AD1" s="96"/>
      <c r="AE1" s="96"/>
      <c r="AF1" s="96"/>
      <c r="AG1" s="96"/>
      <c r="AH1" s="96"/>
      <c r="AI1" s="96"/>
      <c r="AJ1" s="97"/>
      <c r="AL1" s="99"/>
      <c r="AM1" s="203"/>
      <c r="AN1" s="228" t="s">
        <v>398</v>
      </c>
      <c r="AO1" s="202"/>
      <c r="AP1" s="202"/>
    </row>
    <row r="2" spans="1:42" ht="12" customHeight="1" thickBot="1">
      <c r="A2" s="100"/>
      <c r="B2" s="100"/>
      <c r="C2" s="100"/>
      <c r="D2" s="100"/>
      <c r="E2" s="100"/>
      <c r="F2" s="100"/>
      <c r="G2" s="101"/>
      <c r="H2" s="102"/>
      <c r="I2" s="103"/>
      <c r="J2" s="103"/>
      <c r="K2" s="204" t="s">
        <v>304</v>
      </c>
      <c r="L2" s="229" t="s">
        <v>15</v>
      </c>
      <c r="M2" s="230" t="s">
        <v>305</v>
      </c>
      <c r="N2" s="230" t="s">
        <v>306</v>
      </c>
      <c r="O2" s="100"/>
      <c r="P2" s="100"/>
      <c r="Q2" s="100"/>
      <c r="R2" s="100"/>
      <c r="S2" s="100"/>
      <c r="T2" s="100"/>
      <c r="U2" s="101"/>
      <c r="V2" s="102"/>
      <c r="W2" s="103"/>
      <c r="X2" s="103"/>
      <c r="Y2" s="104" t="s">
        <v>200</v>
      </c>
      <c r="AC2" s="100"/>
      <c r="AD2" s="100"/>
      <c r="AE2" s="100"/>
      <c r="AF2" s="100"/>
      <c r="AG2" s="100"/>
      <c r="AH2" s="100"/>
      <c r="AI2" s="101"/>
      <c r="AJ2" s="102"/>
      <c r="AK2" s="103"/>
      <c r="AL2" s="103"/>
      <c r="AM2" s="204" t="s">
        <v>304</v>
      </c>
      <c r="AN2" s="229" t="s">
        <v>15</v>
      </c>
      <c r="AO2" s="230" t="s">
        <v>305</v>
      </c>
      <c r="AP2" s="230" t="s">
        <v>306</v>
      </c>
    </row>
    <row r="3" spans="1:42" s="109" customFormat="1" ht="33.75" customHeight="1" thickTop="1">
      <c r="A3" s="106"/>
      <c r="B3" s="107" t="s">
        <v>109</v>
      </c>
      <c r="C3" s="108" t="s">
        <v>254</v>
      </c>
      <c r="D3" s="107" t="s">
        <v>201</v>
      </c>
      <c r="E3" s="107" t="s">
        <v>202</v>
      </c>
      <c r="F3" s="108" t="s">
        <v>255</v>
      </c>
      <c r="G3" s="108" t="s">
        <v>256</v>
      </c>
      <c r="H3" s="107" t="s">
        <v>203</v>
      </c>
      <c r="I3" s="107" t="s">
        <v>7</v>
      </c>
      <c r="J3" s="107" t="s">
        <v>204</v>
      </c>
      <c r="K3" s="205" t="s">
        <v>16</v>
      </c>
      <c r="L3" s="231">
        <v>1</v>
      </c>
      <c r="M3" s="230">
        <v>8760</v>
      </c>
      <c r="N3" s="232">
        <v>754</v>
      </c>
      <c r="O3" s="220"/>
      <c r="P3" s="107" t="s">
        <v>109</v>
      </c>
      <c r="Q3" s="108" t="s">
        <v>254</v>
      </c>
      <c r="R3" s="107" t="s">
        <v>201</v>
      </c>
      <c r="S3" s="107" t="s">
        <v>202</v>
      </c>
      <c r="T3" s="108" t="s">
        <v>255</v>
      </c>
      <c r="U3" s="108" t="s">
        <v>256</v>
      </c>
      <c r="V3" s="107" t="s">
        <v>203</v>
      </c>
      <c r="W3" s="107" t="s">
        <v>7</v>
      </c>
      <c r="X3" s="107" t="s">
        <v>204</v>
      </c>
      <c r="Y3" s="205" t="s">
        <v>16</v>
      </c>
      <c r="AC3" s="106"/>
      <c r="AD3" s="107" t="s">
        <v>109</v>
      </c>
      <c r="AE3" s="108" t="s">
        <v>340</v>
      </c>
      <c r="AF3" s="107" t="s">
        <v>201</v>
      </c>
      <c r="AG3" s="107" t="s">
        <v>202</v>
      </c>
      <c r="AH3" s="108" t="s">
        <v>341</v>
      </c>
      <c r="AI3" s="108" t="s">
        <v>342</v>
      </c>
      <c r="AJ3" s="107" t="s">
        <v>203</v>
      </c>
      <c r="AK3" s="107" t="s">
        <v>7</v>
      </c>
      <c r="AL3" s="107" t="s">
        <v>204</v>
      </c>
      <c r="AM3" s="205" t="s">
        <v>16</v>
      </c>
      <c r="AN3" s="328">
        <v>1</v>
      </c>
      <c r="AO3" s="230">
        <v>8760</v>
      </c>
      <c r="AP3" s="230">
        <v>754</v>
      </c>
    </row>
    <row r="4" spans="1:39" s="110" customFormat="1" ht="10.5" customHeight="1">
      <c r="A4" s="184" t="s">
        <v>205</v>
      </c>
      <c r="B4" s="185"/>
      <c r="C4" s="186"/>
      <c r="D4" s="186"/>
      <c r="E4" s="186"/>
      <c r="F4" s="186"/>
      <c r="G4" s="186"/>
      <c r="H4" s="186"/>
      <c r="I4" s="186"/>
      <c r="J4" s="186"/>
      <c r="K4" s="206"/>
      <c r="O4" s="221" t="s">
        <v>205</v>
      </c>
      <c r="P4" s="113"/>
      <c r="Q4" s="212"/>
      <c r="R4" s="212"/>
      <c r="S4" s="212"/>
      <c r="T4" s="212"/>
      <c r="U4" s="212"/>
      <c r="V4" s="212"/>
      <c r="W4" s="212"/>
      <c r="X4" s="212"/>
      <c r="Y4" s="213"/>
      <c r="AC4" s="184" t="s">
        <v>205</v>
      </c>
      <c r="AD4" s="185"/>
      <c r="AE4" s="186"/>
      <c r="AF4" s="186"/>
      <c r="AG4" s="186"/>
      <c r="AH4" s="186"/>
      <c r="AI4" s="186"/>
      <c r="AJ4" s="186"/>
      <c r="AK4" s="186"/>
      <c r="AL4" s="186"/>
      <c r="AM4" s="206"/>
    </row>
    <row r="5" spans="1:39" s="110" customFormat="1" ht="10.5" customHeight="1">
      <c r="A5" s="186" t="s">
        <v>206</v>
      </c>
      <c r="B5" s="187">
        <f aca="true" t="shared" si="0" ref="B5:B36">P5/754</f>
        <v>16.89442771286721</v>
      </c>
      <c r="C5" s="187">
        <f aca="true" t="shared" si="1" ref="C5:C36">Q5/754</f>
        <v>0</v>
      </c>
      <c r="D5" s="187">
        <f aca="true" t="shared" si="2" ref="D5:D36">R5/754</f>
        <v>123.18670721010432</v>
      </c>
      <c r="E5" s="187">
        <f aca="true" t="shared" si="3" ref="E5:E36">S5/754</f>
        <v>0</v>
      </c>
      <c r="F5" s="187">
        <f aca="true" t="shared" si="4" ref="F5:F36">T5/754</f>
        <v>116.16160074183013</v>
      </c>
      <c r="G5" s="187">
        <f aca="true" t="shared" si="5" ref="G5:G36">U5/754</f>
        <v>4.233315649867374</v>
      </c>
      <c r="H5" s="187">
        <f aca="true" t="shared" si="6" ref="H5:H36">V5/754</f>
        <v>25.262337475916812</v>
      </c>
      <c r="I5" s="187">
        <f aca="true" t="shared" si="7" ref="I5:I36">W5/754</f>
        <v>0</v>
      </c>
      <c r="J5" s="187">
        <f aca="true" t="shared" si="8" ref="J5:J36">X5/754</f>
        <v>0</v>
      </c>
      <c r="K5" s="206">
        <f aca="true" t="shared" si="9" ref="K5:K36">Y5/754</f>
        <v>285.7383887905859</v>
      </c>
      <c r="O5" s="222" t="s">
        <v>206</v>
      </c>
      <c r="P5" s="111">
        <v>12738.398495501877</v>
      </c>
      <c r="Q5" s="113">
        <v>0</v>
      </c>
      <c r="R5" s="113">
        <v>92882.77723641865</v>
      </c>
      <c r="S5" s="113">
        <v>0</v>
      </c>
      <c r="T5" s="113">
        <v>87585.84695933992</v>
      </c>
      <c r="U5" s="113">
        <v>3191.92</v>
      </c>
      <c r="V5" s="113">
        <v>19047.802456841277</v>
      </c>
      <c r="W5" s="113">
        <v>0</v>
      </c>
      <c r="X5" s="113">
        <v>0</v>
      </c>
      <c r="Y5" s="214">
        <v>215446.74514810173</v>
      </c>
      <c r="AC5" s="186" t="s">
        <v>206</v>
      </c>
      <c r="AD5" s="187">
        <v>16.89442771286721</v>
      </c>
      <c r="AE5" s="187">
        <v>0</v>
      </c>
      <c r="AF5" s="187">
        <v>123.18670721010432</v>
      </c>
      <c r="AG5" s="187">
        <v>0</v>
      </c>
      <c r="AH5" s="187">
        <v>116.16160074183013</v>
      </c>
      <c r="AI5" s="187">
        <v>4.233315649867374</v>
      </c>
      <c r="AJ5" s="187">
        <v>25.262337475916812</v>
      </c>
      <c r="AK5" s="187">
        <v>0</v>
      </c>
      <c r="AL5" s="187">
        <v>0</v>
      </c>
      <c r="AM5" s="206">
        <v>285.7383887905859</v>
      </c>
    </row>
    <row r="6" spans="1:40" s="110" customFormat="1" ht="26.25">
      <c r="A6" s="186" t="s">
        <v>207</v>
      </c>
      <c r="B6" s="188">
        <f t="shared" si="0"/>
        <v>37.96220729644052</v>
      </c>
      <c r="C6" s="189">
        <f t="shared" si="1"/>
        <v>0.8331529635198943</v>
      </c>
      <c r="D6" s="185">
        <f t="shared" si="2"/>
        <v>85.21906864556577</v>
      </c>
      <c r="E6" s="185">
        <f t="shared" si="3"/>
        <v>32.59583534092668</v>
      </c>
      <c r="F6" s="185">
        <f t="shared" si="4"/>
        <v>19.765970610429747</v>
      </c>
      <c r="G6" s="185">
        <f t="shared" si="5"/>
        <v>1.0008620689655172</v>
      </c>
      <c r="H6" s="185">
        <f t="shared" si="6"/>
        <v>0</v>
      </c>
      <c r="I6" s="185">
        <f t="shared" si="7"/>
        <v>1.2726695799530618</v>
      </c>
      <c r="J6" s="185">
        <f t="shared" si="8"/>
        <v>0</v>
      </c>
      <c r="K6" s="207">
        <f t="shared" si="9"/>
        <v>178.64976650580118</v>
      </c>
      <c r="L6" s="335" t="s">
        <v>402</v>
      </c>
      <c r="O6" s="222" t="s">
        <v>207</v>
      </c>
      <c r="P6" s="112">
        <v>28623.50430151615</v>
      </c>
      <c r="Q6" s="113">
        <v>628.1973344940003</v>
      </c>
      <c r="R6" s="113">
        <v>64255.17775875659</v>
      </c>
      <c r="S6" s="113">
        <v>24577.25984705872</v>
      </c>
      <c r="T6" s="113">
        <v>14903.541840264028</v>
      </c>
      <c r="U6" s="113">
        <v>754.65</v>
      </c>
      <c r="V6" s="113">
        <v>0</v>
      </c>
      <c r="W6" s="113">
        <v>959.5928632846086</v>
      </c>
      <c r="X6" s="113">
        <v>0</v>
      </c>
      <c r="Y6" s="214">
        <v>134701.9239453741</v>
      </c>
      <c r="AC6" s="186" t="s">
        <v>207</v>
      </c>
      <c r="AD6" s="188">
        <v>37.96220729644052</v>
      </c>
      <c r="AE6" s="189">
        <v>0.8331529635198943</v>
      </c>
      <c r="AF6" s="185">
        <v>85.21906864556577</v>
      </c>
      <c r="AG6" s="185">
        <v>32.59583534092668</v>
      </c>
      <c r="AH6" s="185">
        <v>19.765970610429747</v>
      </c>
      <c r="AI6" s="185">
        <v>1.0008620689655172</v>
      </c>
      <c r="AJ6" s="185">
        <v>0</v>
      </c>
      <c r="AK6" s="185">
        <v>1.2726695799530618</v>
      </c>
      <c r="AL6" s="185">
        <v>0</v>
      </c>
      <c r="AM6" s="207">
        <v>178.64976650580118</v>
      </c>
      <c r="AN6" s="335" t="s">
        <v>402</v>
      </c>
    </row>
    <row r="7" spans="1:41" s="110" customFormat="1" ht="10.5" customHeight="1">
      <c r="A7" s="186" t="s">
        <v>208</v>
      </c>
      <c r="B7" s="189">
        <f t="shared" si="0"/>
        <v>-0.5542978992991141</v>
      </c>
      <c r="C7" s="189">
        <f t="shared" si="1"/>
        <v>-0.1181373212805485</v>
      </c>
      <c r="D7" s="189">
        <f t="shared" si="2"/>
        <v>-78.48364032449119</v>
      </c>
      <c r="E7" s="189">
        <f t="shared" si="3"/>
        <v>-42.86618998592179</v>
      </c>
      <c r="F7" s="189">
        <f t="shared" si="4"/>
        <v>-10.968304892996038</v>
      </c>
      <c r="G7" s="189">
        <f t="shared" si="5"/>
        <v>0</v>
      </c>
      <c r="H7" s="185">
        <f t="shared" si="6"/>
        <v>0</v>
      </c>
      <c r="I7" s="189">
        <f t="shared" si="7"/>
        <v>-0.3237738082476718</v>
      </c>
      <c r="J7" s="185">
        <f t="shared" si="8"/>
        <v>0</v>
      </c>
      <c r="K7" s="207">
        <f t="shared" si="9"/>
        <v>-133.31434423223635</v>
      </c>
      <c r="L7" s="110" t="s">
        <v>401</v>
      </c>
      <c r="M7" s="100"/>
      <c r="O7" s="222" t="s">
        <v>208</v>
      </c>
      <c r="P7" s="113">
        <v>-417.940616071532</v>
      </c>
      <c r="Q7" s="113">
        <v>-89.07554024553357</v>
      </c>
      <c r="R7" s="113">
        <v>-59176.66480466636</v>
      </c>
      <c r="S7" s="113">
        <v>-32321.107249385033</v>
      </c>
      <c r="T7" s="113">
        <v>-8270.101889319012</v>
      </c>
      <c r="U7" s="113">
        <v>0</v>
      </c>
      <c r="V7" s="113">
        <v>0</v>
      </c>
      <c r="W7" s="113">
        <v>-244.12545141874457</v>
      </c>
      <c r="X7" s="113">
        <v>0</v>
      </c>
      <c r="Y7" s="214">
        <v>-100519.01555110622</v>
      </c>
      <c r="AC7" s="186" t="s">
        <v>208</v>
      </c>
      <c r="AD7" s="189">
        <v>-0.5542978992991141</v>
      </c>
      <c r="AE7" s="189">
        <v>-0.1181373212805485</v>
      </c>
      <c r="AF7" s="189">
        <v>-78.48364032449119</v>
      </c>
      <c r="AG7" s="189">
        <v>-42.86618998592179</v>
      </c>
      <c r="AH7" s="189">
        <v>-10.968304892996038</v>
      </c>
      <c r="AI7" s="189">
        <v>0</v>
      </c>
      <c r="AJ7" s="185">
        <v>0</v>
      </c>
      <c r="AK7" s="189">
        <v>-0.3237738082476718</v>
      </c>
      <c r="AL7" s="185">
        <v>0</v>
      </c>
      <c r="AM7" s="207">
        <v>-133.31434423223635</v>
      </c>
      <c r="AN7" s="110" t="s">
        <v>401</v>
      </c>
      <c r="AO7" s="100"/>
    </row>
    <row r="8" spans="1:41" s="110" customFormat="1" ht="10.5" customHeight="1">
      <c r="A8" s="186" t="s">
        <v>209</v>
      </c>
      <c r="B8" s="185">
        <f t="shared" si="0"/>
        <v>0</v>
      </c>
      <c r="C8" s="185">
        <f t="shared" si="1"/>
        <v>0</v>
      </c>
      <c r="D8" s="185">
        <f t="shared" si="2"/>
        <v>0</v>
      </c>
      <c r="E8" s="189">
        <f t="shared" si="3"/>
        <v>-2.8908694027206163</v>
      </c>
      <c r="F8" s="185">
        <f t="shared" si="4"/>
        <v>0</v>
      </c>
      <c r="G8" s="185">
        <f t="shared" si="5"/>
        <v>0</v>
      </c>
      <c r="H8" s="185">
        <f t="shared" si="6"/>
        <v>0</v>
      </c>
      <c r="I8" s="185">
        <f t="shared" si="7"/>
        <v>0</v>
      </c>
      <c r="J8" s="185">
        <f t="shared" si="8"/>
        <v>0</v>
      </c>
      <c r="K8" s="189">
        <f t="shared" si="9"/>
        <v>-2.8908694027206163</v>
      </c>
      <c r="L8" s="329" t="s">
        <v>375</v>
      </c>
      <c r="M8" s="330" t="s">
        <v>400</v>
      </c>
      <c r="O8" s="222" t="s">
        <v>209</v>
      </c>
      <c r="P8" s="113">
        <v>0</v>
      </c>
      <c r="Q8" s="113">
        <v>0</v>
      </c>
      <c r="R8" s="113">
        <v>0</v>
      </c>
      <c r="S8" s="113">
        <v>-2179.7155296513447</v>
      </c>
      <c r="T8" s="113">
        <v>0</v>
      </c>
      <c r="U8" s="113">
        <v>0</v>
      </c>
      <c r="V8" s="113">
        <v>0</v>
      </c>
      <c r="W8" s="113">
        <v>0</v>
      </c>
      <c r="X8" s="113">
        <v>0</v>
      </c>
      <c r="Y8" s="214">
        <v>-2179.7155296513447</v>
      </c>
      <c r="AC8" s="186" t="s">
        <v>209</v>
      </c>
      <c r="AD8" s="185">
        <v>0</v>
      </c>
      <c r="AE8" s="185">
        <v>0</v>
      </c>
      <c r="AF8" s="185">
        <v>0</v>
      </c>
      <c r="AG8" s="189">
        <v>-2.8908694027206163</v>
      </c>
      <c r="AH8" s="185">
        <v>0</v>
      </c>
      <c r="AI8" s="185">
        <v>0</v>
      </c>
      <c r="AJ8" s="185">
        <v>0</v>
      </c>
      <c r="AK8" s="185">
        <v>0</v>
      </c>
      <c r="AL8" s="185">
        <v>0</v>
      </c>
      <c r="AM8" s="207">
        <v>-2.8908694027206163</v>
      </c>
      <c r="AN8" s="329" t="s">
        <v>375</v>
      </c>
      <c r="AO8" s="330" t="s">
        <v>400</v>
      </c>
    </row>
    <row r="9" spans="1:41" s="110" customFormat="1" ht="10.5" customHeight="1">
      <c r="A9" s="187" t="s">
        <v>257</v>
      </c>
      <c r="B9" s="189">
        <f t="shared" si="0"/>
        <v>-1.8513298139811187</v>
      </c>
      <c r="C9" s="189">
        <f t="shared" si="1"/>
        <v>-0.12835728317797543</v>
      </c>
      <c r="D9" s="189">
        <f t="shared" si="2"/>
        <v>-0.551380844119955</v>
      </c>
      <c r="E9" s="189">
        <f t="shared" si="3"/>
        <v>1.5350289791681009</v>
      </c>
      <c r="F9" s="189">
        <f t="shared" si="4"/>
        <v>0.15064397161826465</v>
      </c>
      <c r="G9" s="189">
        <f t="shared" si="5"/>
        <v>0</v>
      </c>
      <c r="H9" s="185">
        <f t="shared" si="6"/>
        <v>0</v>
      </c>
      <c r="I9" s="189">
        <f t="shared" si="7"/>
        <v>0</v>
      </c>
      <c r="J9" s="185">
        <f t="shared" si="8"/>
        <v>0</v>
      </c>
      <c r="K9" s="189">
        <f t="shared" si="9"/>
        <v>-0.8453949904926836</v>
      </c>
      <c r="L9" s="331" t="s">
        <v>109</v>
      </c>
      <c r="M9" s="332">
        <f>B12-B63</f>
        <v>52.39223969602934</v>
      </c>
      <c r="O9" s="222" t="s">
        <v>257</v>
      </c>
      <c r="P9" s="114">
        <v>-1395.9026797417634</v>
      </c>
      <c r="Q9" s="114">
        <v>-96.78139151619348</v>
      </c>
      <c r="R9" s="114">
        <v>-415.7411564664461</v>
      </c>
      <c r="S9" s="114">
        <v>1157.411850292748</v>
      </c>
      <c r="T9" s="114">
        <v>113.58555460017155</v>
      </c>
      <c r="U9" s="114">
        <v>0</v>
      </c>
      <c r="V9" s="113">
        <v>0</v>
      </c>
      <c r="W9" s="114">
        <v>0</v>
      </c>
      <c r="X9" s="113">
        <v>0</v>
      </c>
      <c r="Y9" s="215">
        <v>-637.4278228314835</v>
      </c>
      <c r="AC9" s="187" t="s">
        <v>343</v>
      </c>
      <c r="AD9" s="189">
        <v>-1.8513298139811187</v>
      </c>
      <c r="AE9" s="189">
        <v>-0.12835728317797543</v>
      </c>
      <c r="AF9" s="189">
        <v>-0.551380844119955</v>
      </c>
      <c r="AG9" s="189">
        <v>1.5350289791681009</v>
      </c>
      <c r="AH9" s="189">
        <v>0.15064397161826465</v>
      </c>
      <c r="AI9" s="189">
        <v>0</v>
      </c>
      <c r="AJ9" s="185">
        <v>0</v>
      </c>
      <c r="AK9" s="189">
        <v>0</v>
      </c>
      <c r="AL9" s="185">
        <v>0</v>
      </c>
      <c r="AM9" s="207">
        <v>-0.8453949904926836</v>
      </c>
      <c r="AN9" s="331" t="s">
        <v>109</v>
      </c>
      <c r="AO9" s="332">
        <v>52.39223969602934</v>
      </c>
    </row>
    <row r="10" spans="1:41" s="117" customFormat="1" ht="10.5" customHeight="1">
      <c r="A10" s="190" t="s">
        <v>210</v>
      </c>
      <c r="B10" s="191">
        <f t="shared" si="0"/>
        <v>52.4510072960275</v>
      </c>
      <c r="C10" s="191">
        <f t="shared" si="1"/>
        <v>0.5866583590613704</v>
      </c>
      <c r="D10" s="191">
        <f t="shared" si="2"/>
        <v>129.37075468705893</v>
      </c>
      <c r="E10" s="191">
        <f t="shared" si="3"/>
        <v>-11.626195068547625</v>
      </c>
      <c r="F10" s="191">
        <f t="shared" si="4"/>
        <v>125.10991043088208</v>
      </c>
      <c r="G10" s="191">
        <f t="shared" si="5"/>
        <v>5.234177718832892</v>
      </c>
      <c r="H10" s="191">
        <f t="shared" si="6"/>
        <v>25.262337475916812</v>
      </c>
      <c r="I10" s="191">
        <f t="shared" si="7"/>
        <v>0.94889577170539</v>
      </c>
      <c r="J10" s="191">
        <f t="shared" si="8"/>
        <v>0</v>
      </c>
      <c r="K10" s="192">
        <f t="shared" si="9"/>
        <v>327.3375466709373</v>
      </c>
      <c r="L10" s="331" t="s">
        <v>112</v>
      </c>
      <c r="M10" s="332">
        <f>D12+E12-(D63+E63)</f>
        <v>102.56237501888371</v>
      </c>
      <c r="O10" s="223" t="s">
        <v>210</v>
      </c>
      <c r="P10" s="115">
        <v>39548.059501204734</v>
      </c>
      <c r="Q10" s="115">
        <v>442.3404027322733</v>
      </c>
      <c r="R10" s="115">
        <v>97545.54903404243</v>
      </c>
      <c r="S10" s="115">
        <v>-8766.15108168491</v>
      </c>
      <c r="T10" s="115">
        <v>94332.87246488509</v>
      </c>
      <c r="U10" s="115">
        <v>3946.57</v>
      </c>
      <c r="V10" s="115">
        <v>19047.802456841277</v>
      </c>
      <c r="W10" s="115">
        <v>715.467411865864</v>
      </c>
      <c r="X10" s="115">
        <v>0</v>
      </c>
      <c r="Y10" s="216">
        <v>246812.51018988673</v>
      </c>
      <c r="AC10" s="190" t="s">
        <v>210</v>
      </c>
      <c r="AD10" s="191">
        <v>52.4510072960275</v>
      </c>
      <c r="AE10" s="191">
        <v>0.5866583590613704</v>
      </c>
      <c r="AF10" s="191">
        <v>129.37075468705893</v>
      </c>
      <c r="AG10" s="191">
        <v>-11.626195068547625</v>
      </c>
      <c r="AH10" s="191">
        <v>125.10991043088208</v>
      </c>
      <c r="AI10" s="191">
        <v>5.234177718832892</v>
      </c>
      <c r="AJ10" s="191">
        <v>25.262337475916812</v>
      </c>
      <c r="AK10" s="191">
        <v>0.94889577170539</v>
      </c>
      <c r="AL10" s="191">
        <v>0</v>
      </c>
      <c r="AM10" s="208">
        <v>327.3375466709373</v>
      </c>
      <c r="AN10" s="331" t="s">
        <v>112</v>
      </c>
      <c r="AO10" s="332">
        <v>102.56237501888371</v>
      </c>
    </row>
    <row r="11" spans="1:41" s="117" customFormat="1" ht="11.25" customHeight="1">
      <c r="A11" s="190" t="s">
        <v>258</v>
      </c>
      <c r="B11" s="189">
        <f t="shared" si="0"/>
        <v>0.05876759999814953</v>
      </c>
      <c r="C11" s="189">
        <f t="shared" si="1"/>
        <v>-0.0076497270970561524</v>
      </c>
      <c r="D11" s="189">
        <f t="shared" si="2"/>
        <v>-0.1605503798385877</v>
      </c>
      <c r="E11" s="189">
        <f t="shared" si="3"/>
        <v>-0.2376698119298779</v>
      </c>
      <c r="F11" s="189">
        <f t="shared" si="4"/>
        <v>0.07262137872893755</v>
      </c>
      <c r="G11" s="189">
        <f t="shared" si="5"/>
        <v>0</v>
      </c>
      <c r="H11" s="189">
        <f t="shared" si="6"/>
        <v>0</v>
      </c>
      <c r="I11" s="189">
        <f t="shared" si="7"/>
        <v>0.1802936971166685</v>
      </c>
      <c r="J11" s="189">
        <f t="shared" si="8"/>
        <v>0</v>
      </c>
      <c r="K11" s="189">
        <f t="shared" si="9"/>
        <v>-0.09416734912251777</v>
      </c>
      <c r="L11" s="331" t="s">
        <v>110</v>
      </c>
      <c r="M11" s="332">
        <f>F12-F63</f>
        <v>123.92872732005537</v>
      </c>
      <c r="O11" s="223" t="s">
        <v>258</v>
      </c>
      <c r="P11" s="114">
        <v>44.310770398604745</v>
      </c>
      <c r="Q11" s="114">
        <v>-5.767894231180339</v>
      </c>
      <c r="R11" s="114">
        <v>-121.05498639829511</v>
      </c>
      <c r="S11" s="114">
        <v>-179.20303819512793</v>
      </c>
      <c r="T11" s="114">
        <v>54.756519561618916</v>
      </c>
      <c r="U11" s="114">
        <v>0</v>
      </c>
      <c r="V11" s="114">
        <v>0</v>
      </c>
      <c r="W11" s="114">
        <v>135.94144762596807</v>
      </c>
      <c r="X11" s="114">
        <v>0</v>
      </c>
      <c r="Y11" s="215">
        <v>-71.0021812383784</v>
      </c>
      <c r="AC11" s="190" t="s">
        <v>344</v>
      </c>
      <c r="AD11" s="189">
        <v>0.05876759999814953</v>
      </c>
      <c r="AE11" s="189">
        <v>-0.0076497270970561524</v>
      </c>
      <c r="AF11" s="189">
        <v>-0.1605503798385877</v>
      </c>
      <c r="AG11" s="189">
        <v>-0.2376698119298779</v>
      </c>
      <c r="AH11" s="189">
        <v>0.07262137872893755</v>
      </c>
      <c r="AI11" s="189">
        <v>0</v>
      </c>
      <c r="AJ11" s="189">
        <v>0</v>
      </c>
      <c r="AK11" s="189">
        <v>0.1802936971166685</v>
      </c>
      <c r="AL11" s="189">
        <v>0</v>
      </c>
      <c r="AM11" s="207">
        <v>-0.09416734912251777</v>
      </c>
      <c r="AN11" s="331" t="s">
        <v>110</v>
      </c>
      <c r="AO11" s="332">
        <v>123.92872732005537</v>
      </c>
    </row>
    <row r="12" spans="1:41" s="117" customFormat="1" ht="10.5" customHeight="1" thickBot="1">
      <c r="A12" s="190" t="s">
        <v>211</v>
      </c>
      <c r="B12" s="191">
        <f t="shared" si="0"/>
        <v>52.39223969602934</v>
      </c>
      <c r="C12" s="191">
        <f t="shared" si="1"/>
        <v>0.5943080861584266</v>
      </c>
      <c r="D12" s="191">
        <f t="shared" si="2"/>
        <v>129.53130506689752</v>
      </c>
      <c r="E12" s="191">
        <f t="shared" si="3"/>
        <v>-11.388525256617745</v>
      </c>
      <c r="F12" s="191">
        <f t="shared" si="4"/>
        <v>125.03728905215314</v>
      </c>
      <c r="G12" s="191">
        <f t="shared" si="5"/>
        <v>5.234157824933686</v>
      </c>
      <c r="H12" s="191">
        <f t="shared" si="6"/>
        <v>25.262337475916812</v>
      </c>
      <c r="I12" s="191">
        <f t="shared" si="7"/>
        <v>0.7686020745887214</v>
      </c>
      <c r="J12" s="191">
        <f t="shared" si="8"/>
        <v>0</v>
      </c>
      <c r="K12" s="192">
        <f t="shared" si="9"/>
        <v>327.4317140200598</v>
      </c>
      <c r="L12" s="333" t="s">
        <v>16</v>
      </c>
      <c r="M12" s="334">
        <f>SUM(M9:M11)</f>
        <v>278.88334203496845</v>
      </c>
      <c r="O12" s="223" t="s">
        <v>211</v>
      </c>
      <c r="P12" s="115">
        <v>39503.748730806125</v>
      </c>
      <c r="Q12" s="115">
        <v>448.10829696345365</v>
      </c>
      <c r="R12" s="115">
        <v>97666.60402044073</v>
      </c>
      <c r="S12" s="115">
        <v>-8586.94804348978</v>
      </c>
      <c r="T12" s="115">
        <v>94278.11594532347</v>
      </c>
      <c r="U12" s="115">
        <v>3946.555</v>
      </c>
      <c r="V12" s="115">
        <v>19047.802456841277</v>
      </c>
      <c r="W12" s="115">
        <v>579.525964239896</v>
      </c>
      <c r="X12" s="115">
        <v>0</v>
      </c>
      <c r="Y12" s="216">
        <v>246883.5123711251</v>
      </c>
      <c r="AC12" s="190" t="s">
        <v>211</v>
      </c>
      <c r="AD12" s="191">
        <v>52.39223969602934</v>
      </c>
      <c r="AE12" s="191">
        <v>0.5943080861584266</v>
      </c>
      <c r="AF12" s="191">
        <v>129.53130506689752</v>
      </c>
      <c r="AG12" s="191">
        <v>-11.388525256617745</v>
      </c>
      <c r="AH12" s="191">
        <v>125.03728905215314</v>
      </c>
      <c r="AI12" s="191">
        <v>5.234157824933686</v>
      </c>
      <c r="AJ12" s="191">
        <v>25.262337475916812</v>
      </c>
      <c r="AK12" s="191">
        <v>0.7686020745887214</v>
      </c>
      <c r="AL12" s="191">
        <v>0</v>
      </c>
      <c r="AM12" s="208">
        <v>327.4317140200598</v>
      </c>
      <c r="AN12" s="333" t="s">
        <v>16</v>
      </c>
      <c r="AO12" s="334">
        <v>278.88334203496845</v>
      </c>
    </row>
    <row r="13" spans="1:39" s="110" customFormat="1" ht="4.5" customHeight="1">
      <c r="A13" s="186"/>
      <c r="B13" s="185">
        <f t="shared" si="0"/>
        <v>0</v>
      </c>
      <c r="C13" s="185">
        <f t="shared" si="1"/>
        <v>0</v>
      </c>
      <c r="D13" s="185">
        <f t="shared" si="2"/>
        <v>0</v>
      </c>
      <c r="E13" s="185">
        <f t="shared" si="3"/>
        <v>0</v>
      </c>
      <c r="F13" s="185">
        <f t="shared" si="4"/>
        <v>0</v>
      </c>
      <c r="G13" s="185">
        <f t="shared" si="5"/>
        <v>0</v>
      </c>
      <c r="H13" s="185">
        <f t="shared" si="6"/>
        <v>0</v>
      </c>
      <c r="I13" s="185">
        <f t="shared" si="7"/>
        <v>0</v>
      </c>
      <c r="J13" s="185">
        <f t="shared" si="8"/>
        <v>0</v>
      </c>
      <c r="K13" s="209">
        <f t="shared" si="9"/>
        <v>0</v>
      </c>
      <c r="O13" s="222"/>
      <c r="P13" s="113"/>
      <c r="Q13" s="113"/>
      <c r="R13" s="113"/>
      <c r="S13" s="113"/>
      <c r="T13" s="113"/>
      <c r="U13" s="113"/>
      <c r="V13" s="113"/>
      <c r="W13" s="113"/>
      <c r="X13" s="113"/>
      <c r="Y13" s="217"/>
      <c r="AC13" s="186"/>
      <c r="AD13" s="185">
        <v>0</v>
      </c>
      <c r="AE13" s="185">
        <v>0</v>
      </c>
      <c r="AF13" s="185">
        <v>0</v>
      </c>
      <c r="AG13" s="185">
        <v>0</v>
      </c>
      <c r="AH13" s="185">
        <v>0</v>
      </c>
      <c r="AI13" s="185">
        <v>0</v>
      </c>
      <c r="AJ13" s="185">
        <v>0</v>
      </c>
      <c r="AK13" s="185">
        <v>0</v>
      </c>
      <c r="AL13" s="185">
        <v>0</v>
      </c>
      <c r="AM13" s="209">
        <v>0</v>
      </c>
    </row>
    <row r="14" spans="1:39" s="110" customFormat="1" ht="10.5" customHeight="1">
      <c r="A14" s="186" t="s">
        <v>212</v>
      </c>
      <c r="B14" s="189">
        <f t="shared" si="0"/>
        <v>0</v>
      </c>
      <c r="C14" s="189">
        <f t="shared" si="1"/>
        <v>-0.1488533212681311</v>
      </c>
      <c r="D14" s="189">
        <f t="shared" si="2"/>
        <v>-4.831983755641974</v>
      </c>
      <c r="E14" s="189">
        <f t="shared" si="3"/>
        <v>4.836066012596168</v>
      </c>
      <c r="F14" s="189">
        <f t="shared" si="4"/>
        <v>-0.005789181664541761</v>
      </c>
      <c r="G14" s="189">
        <f t="shared" si="5"/>
        <v>0</v>
      </c>
      <c r="H14" s="189">
        <f t="shared" si="6"/>
        <v>-0.8983017486560643</v>
      </c>
      <c r="I14" s="189">
        <f t="shared" si="7"/>
        <v>0.8983017486560643</v>
      </c>
      <c r="J14" s="189">
        <f t="shared" si="8"/>
        <v>0</v>
      </c>
      <c r="K14" s="207">
        <f t="shared" si="9"/>
        <v>-0.15056024597847895</v>
      </c>
      <c r="O14" s="222" t="s">
        <v>212</v>
      </c>
      <c r="P14" s="114">
        <v>0</v>
      </c>
      <c r="Q14" s="114">
        <v>-112.23540423617087</v>
      </c>
      <c r="R14" s="114">
        <v>-3643.3157517540485</v>
      </c>
      <c r="S14" s="114">
        <v>3646.3937734975107</v>
      </c>
      <c r="T14" s="114">
        <v>-4.365042975064488</v>
      </c>
      <c r="U14" s="114">
        <v>0</v>
      </c>
      <c r="V14" s="114">
        <v>-677.3195184866725</v>
      </c>
      <c r="W14" s="114">
        <v>677.3195184866725</v>
      </c>
      <c r="X14" s="114">
        <v>0</v>
      </c>
      <c r="Y14" s="215">
        <v>-113.52242546777313</v>
      </c>
      <c r="AC14" s="186" t="s">
        <v>212</v>
      </c>
      <c r="AD14" s="189">
        <v>0</v>
      </c>
      <c r="AE14" s="189">
        <v>-0.1488533212681311</v>
      </c>
      <c r="AF14" s="189">
        <v>-4.831983755641974</v>
      </c>
      <c r="AG14" s="189">
        <v>4.836066012596168</v>
      </c>
      <c r="AH14" s="189">
        <v>-0.005789181664541761</v>
      </c>
      <c r="AI14" s="189">
        <v>0</v>
      </c>
      <c r="AJ14" s="189">
        <v>-0.8983017486560643</v>
      </c>
      <c r="AK14" s="189">
        <v>0.8983017486560643</v>
      </c>
      <c r="AL14" s="189">
        <v>0</v>
      </c>
      <c r="AM14" s="207">
        <v>-0.15056024597847895</v>
      </c>
    </row>
    <row r="15" spans="1:39" s="110" customFormat="1" ht="10.5" customHeight="1">
      <c r="A15" s="184" t="s">
        <v>213</v>
      </c>
      <c r="B15" s="193">
        <f t="shared" si="0"/>
        <v>-50.152734845406215</v>
      </c>
      <c r="C15" s="193">
        <f t="shared" si="1"/>
        <v>2.3221211795439824</v>
      </c>
      <c r="D15" s="193">
        <f t="shared" si="2"/>
        <v>-124.69932131125555</v>
      </c>
      <c r="E15" s="193">
        <f t="shared" si="3"/>
        <v>123.42120819534702</v>
      </c>
      <c r="F15" s="193">
        <f t="shared" si="4"/>
        <v>-40.42780878343089</v>
      </c>
      <c r="G15" s="194">
        <f t="shared" si="5"/>
        <v>-4.438149867374005</v>
      </c>
      <c r="H15" s="194">
        <f t="shared" si="6"/>
        <v>-24.364035727260745</v>
      </c>
      <c r="I15" s="194">
        <f t="shared" si="7"/>
        <v>44.44256036941652</v>
      </c>
      <c r="J15" s="194">
        <f t="shared" si="8"/>
        <v>1.786200308321148</v>
      </c>
      <c r="K15" s="209">
        <f t="shared" si="9"/>
        <v>-72.10996048209877</v>
      </c>
      <c r="O15" s="221" t="s">
        <v>213</v>
      </c>
      <c r="P15" s="118">
        <v>-37815.16207343629</v>
      </c>
      <c r="Q15" s="118">
        <v>1750.879369376163</v>
      </c>
      <c r="R15" s="118">
        <v>-94023.28826868668</v>
      </c>
      <c r="S15" s="118">
        <v>93059.59097929165</v>
      </c>
      <c r="T15" s="118">
        <v>-30482.567822706893</v>
      </c>
      <c r="U15" s="118">
        <v>-3346.365</v>
      </c>
      <c r="V15" s="118">
        <v>-18370.482938354602</v>
      </c>
      <c r="W15" s="118">
        <v>33509.690518540054</v>
      </c>
      <c r="X15" s="118">
        <v>1346.7950324741455</v>
      </c>
      <c r="Y15" s="217">
        <v>-54370.91020350248</v>
      </c>
      <c r="AC15" s="184" t="s">
        <v>213</v>
      </c>
      <c r="AD15" s="193">
        <v>-50.152734845406215</v>
      </c>
      <c r="AE15" s="193">
        <v>2.3221211795439824</v>
      </c>
      <c r="AF15" s="193">
        <v>-124.69932131125555</v>
      </c>
      <c r="AG15" s="193">
        <v>123.42120819534702</v>
      </c>
      <c r="AH15" s="193">
        <v>-40.42780878343089</v>
      </c>
      <c r="AI15" s="194">
        <v>-4.438149867374005</v>
      </c>
      <c r="AJ15" s="194">
        <v>-24.364035727260745</v>
      </c>
      <c r="AK15" s="194">
        <v>44.44256036941652</v>
      </c>
      <c r="AL15" s="194">
        <v>1.786200308321148</v>
      </c>
      <c r="AM15" s="209">
        <v>-72.10996048209877</v>
      </c>
    </row>
    <row r="16" spans="1:39" s="110" customFormat="1" ht="10.5" customHeight="1">
      <c r="A16" s="186" t="s">
        <v>214</v>
      </c>
      <c r="B16" s="189">
        <f t="shared" si="0"/>
        <v>-43.10800409896086</v>
      </c>
      <c r="C16" s="189">
        <f t="shared" si="1"/>
        <v>-1.3092590734198346</v>
      </c>
      <c r="D16" s="185">
        <f t="shared" si="2"/>
        <v>0</v>
      </c>
      <c r="E16" s="189">
        <f t="shared" si="3"/>
        <v>-0.9335757995439204</v>
      </c>
      <c r="F16" s="189">
        <f t="shared" si="4"/>
        <v>-38.070522971629806</v>
      </c>
      <c r="G16" s="185">
        <f t="shared" si="5"/>
        <v>-4.438149867374005</v>
      </c>
      <c r="H16" s="185">
        <f t="shared" si="6"/>
        <v>-24.364035727260745</v>
      </c>
      <c r="I16" s="185">
        <f t="shared" si="7"/>
        <v>44.44256036941652</v>
      </c>
      <c r="J16" s="185">
        <f t="shared" si="8"/>
        <v>0</v>
      </c>
      <c r="K16" s="207">
        <f t="shared" si="9"/>
        <v>-67.78098716877267</v>
      </c>
      <c r="O16" s="222" t="s">
        <v>214</v>
      </c>
      <c r="P16" s="113">
        <v>-32503.43509061649</v>
      </c>
      <c r="Q16" s="113">
        <v>-987.1813413585553</v>
      </c>
      <c r="R16" s="113">
        <v>0</v>
      </c>
      <c r="S16" s="113">
        <v>-703.916152856116</v>
      </c>
      <c r="T16" s="113">
        <v>-28705.174320608872</v>
      </c>
      <c r="U16" s="113">
        <v>-3346.365</v>
      </c>
      <c r="V16" s="113">
        <v>-18370.482938354602</v>
      </c>
      <c r="W16" s="113">
        <v>33509.690518540054</v>
      </c>
      <c r="X16" s="113">
        <v>0</v>
      </c>
      <c r="Y16" s="214">
        <v>-51106.86432525459</v>
      </c>
      <c r="AC16" s="186" t="s">
        <v>214</v>
      </c>
      <c r="AD16" s="189">
        <v>-43.10800409896086</v>
      </c>
      <c r="AE16" s="189">
        <v>-1.3092590734198346</v>
      </c>
      <c r="AF16" s="185">
        <v>0</v>
      </c>
      <c r="AG16" s="189">
        <v>-0.9335757995439204</v>
      </c>
      <c r="AH16" s="189">
        <v>-38.070522971629806</v>
      </c>
      <c r="AI16" s="185">
        <v>-4.438149867374005</v>
      </c>
      <c r="AJ16" s="185">
        <v>-24.364035727260745</v>
      </c>
      <c r="AK16" s="185">
        <v>44.44256036941652</v>
      </c>
      <c r="AL16" s="185">
        <v>0</v>
      </c>
      <c r="AM16" s="207">
        <v>-67.78098716877267</v>
      </c>
    </row>
    <row r="17" spans="1:39" s="110" customFormat="1" ht="10.5" customHeight="1">
      <c r="A17" s="186" t="s">
        <v>215</v>
      </c>
      <c r="B17" s="189">
        <f t="shared" si="0"/>
        <v>-41.920748776811116</v>
      </c>
      <c r="C17" s="185">
        <f t="shared" si="1"/>
        <v>0</v>
      </c>
      <c r="D17" s="185">
        <f t="shared" si="2"/>
        <v>0</v>
      </c>
      <c r="E17" s="189">
        <f t="shared" si="3"/>
        <v>-0.3492234708012457</v>
      </c>
      <c r="F17" s="189">
        <f t="shared" si="4"/>
        <v>-33.71446687870266</v>
      </c>
      <c r="G17" s="185">
        <f t="shared" si="5"/>
        <v>-1.073740053050398</v>
      </c>
      <c r="H17" s="185">
        <f t="shared" si="6"/>
        <v>-24.364035727260745</v>
      </c>
      <c r="I17" s="185">
        <f t="shared" si="7"/>
        <v>40.53546014613045</v>
      </c>
      <c r="J17" s="185">
        <f t="shared" si="8"/>
        <v>0</v>
      </c>
      <c r="K17" s="207">
        <f t="shared" si="9"/>
        <v>-60.886754760495705</v>
      </c>
      <c r="O17" s="222" t="s">
        <v>215</v>
      </c>
      <c r="P17" s="113">
        <v>-31608.24457771558</v>
      </c>
      <c r="Q17" s="113">
        <v>0</v>
      </c>
      <c r="R17" s="113">
        <v>0</v>
      </c>
      <c r="S17" s="113">
        <v>-263.3144969841393</v>
      </c>
      <c r="T17" s="113">
        <v>-25420.708026541804</v>
      </c>
      <c r="U17" s="113">
        <v>-809.6</v>
      </c>
      <c r="V17" s="113">
        <v>-18370.482938354602</v>
      </c>
      <c r="W17" s="113">
        <v>30563.73695018236</v>
      </c>
      <c r="X17" s="113">
        <v>0</v>
      </c>
      <c r="Y17" s="214">
        <v>-45908.61308941376</v>
      </c>
      <c r="AC17" s="186" t="s">
        <v>215</v>
      </c>
      <c r="AD17" s="189">
        <v>-41.920748776811116</v>
      </c>
      <c r="AE17" s="185">
        <v>0</v>
      </c>
      <c r="AF17" s="185">
        <v>0</v>
      </c>
      <c r="AG17" s="189">
        <v>-0.3492234708012457</v>
      </c>
      <c r="AH17" s="189">
        <v>-33.71446687870266</v>
      </c>
      <c r="AI17" s="185">
        <v>-1.073740053050398</v>
      </c>
      <c r="AJ17" s="185">
        <v>-24.364035727260745</v>
      </c>
      <c r="AK17" s="185">
        <v>40.53546014613045</v>
      </c>
      <c r="AL17" s="185">
        <v>0</v>
      </c>
      <c r="AM17" s="207">
        <v>-60.886754760495705</v>
      </c>
    </row>
    <row r="18" spans="1:39" s="110" customFormat="1" ht="10.5" customHeight="1">
      <c r="A18" s="186" t="s">
        <v>216</v>
      </c>
      <c r="B18" s="189">
        <f t="shared" si="0"/>
        <v>-1.1872553221497504</v>
      </c>
      <c r="C18" s="189">
        <f t="shared" si="1"/>
        <v>-1.3092590734198346</v>
      </c>
      <c r="D18" s="185">
        <f t="shared" si="2"/>
        <v>0</v>
      </c>
      <c r="E18" s="189">
        <f t="shared" si="3"/>
        <v>-0.5843523287426747</v>
      </c>
      <c r="F18" s="189">
        <f t="shared" si="4"/>
        <v>-4.356056092927146</v>
      </c>
      <c r="G18" s="185">
        <f t="shared" si="5"/>
        <v>-3.3644098143236074</v>
      </c>
      <c r="H18" s="185">
        <f t="shared" si="6"/>
        <v>0</v>
      </c>
      <c r="I18" s="185">
        <f t="shared" si="7"/>
        <v>3.907100223286069</v>
      </c>
      <c r="J18" s="185">
        <f t="shared" si="8"/>
        <v>0</v>
      </c>
      <c r="K18" s="207">
        <f t="shared" si="9"/>
        <v>-6.894232408276943</v>
      </c>
      <c r="O18" s="222" t="s">
        <v>216</v>
      </c>
      <c r="P18" s="113">
        <v>-895.1905129009118</v>
      </c>
      <c r="Q18" s="113">
        <v>-987.1813413585553</v>
      </c>
      <c r="R18" s="113">
        <v>0</v>
      </c>
      <c r="S18" s="113">
        <v>-440.60165587197673</v>
      </c>
      <c r="T18" s="113">
        <v>-3284.466294067068</v>
      </c>
      <c r="U18" s="113">
        <v>-2536.765</v>
      </c>
      <c r="V18" s="113">
        <v>0</v>
      </c>
      <c r="W18" s="113">
        <v>2945.953568357696</v>
      </c>
      <c r="X18" s="113">
        <v>0</v>
      </c>
      <c r="Y18" s="214">
        <v>-5198.251235840815</v>
      </c>
      <c r="AC18" s="186" t="s">
        <v>216</v>
      </c>
      <c r="AD18" s="189">
        <v>-1.1872553221497504</v>
      </c>
      <c r="AE18" s="189">
        <v>-1.3092590734198346</v>
      </c>
      <c r="AF18" s="185">
        <v>0</v>
      </c>
      <c r="AG18" s="189">
        <v>-0.5843523287426747</v>
      </c>
      <c r="AH18" s="189">
        <v>-4.356056092927146</v>
      </c>
      <c r="AI18" s="185">
        <v>-3.3644098143236074</v>
      </c>
      <c r="AJ18" s="185">
        <v>0</v>
      </c>
      <c r="AK18" s="185">
        <v>3.907100223286069</v>
      </c>
      <c r="AL18" s="185">
        <v>0</v>
      </c>
      <c r="AM18" s="207">
        <v>-6.894232408276943</v>
      </c>
    </row>
    <row r="19" spans="1:39" s="119" customFormat="1" ht="10.5" customHeight="1">
      <c r="A19" s="186" t="s">
        <v>217</v>
      </c>
      <c r="B19" s="189">
        <f t="shared" si="0"/>
        <v>-0.42481658623963137</v>
      </c>
      <c r="C19" s="189">
        <f t="shared" si="1"/>
        <v>-0.06814330449696772</v>
      </c>
      <c r="D19" s="185">
        <f t="shared" si="2"/>
        <v>0</v>
      </c>
      <c r="E19" s="189">
        <f t="shared" si="3"/>
        <v>-0.08519475660276887</v>
      </c>
      <c r="F19" s="189">
        <f t="shared" si="4"/>
        <v>-2.3572858118010904</v>
      </c>
      <c r="G19" s="185">
        <f t="shared" si="5"/>
        <v>0</v>
      </c>
      <c r="H19" s="185">
        <f t="shared" si="6"/>
        <v>0</v>
      </c>
      <c r="I19" s="185">
        <f t="shared" si="7"/>
        <v>0</v>
      </c>
      <c r="J19" s="185">
        <f t="shared" si="8"/>
        <v>1.786200308321148</v>
      </c>
      <c r="K19" s="207">
        <f t="shared" si="9"/>
        <v>-1.1492401508193106</v>
      </c>
      <c r="O19" s="222" t="s">
        <v>217</v>
      </c>
      <c r="P19" s="113">
        <v>-320.31170602468205</v>
      </c>
      <c r="Q19" s="113">
        <v>-51.38005159071366</v>
      </c>
      <c r="R19" s="113">
        <v>0</v>
      </c>
      <c r="S19" s="113">
        <v>-64.23684647848773</v>
      </c>
      <c r="T19" s="113">
        <v>-1777.393502098022</v>
      </c>
      <c r="U19" s="113">
        <v>0</v>
      </c>
      <c r="V19" s="113">
        <v>0</v>
      </c>
      <c r="W19" s="113">
        <v>0</v>
      </c>
      <c r="X19" s="113">
        <v>1346.7950324741455</v>
      </c>
      <c r="Y19" s="214">
        <v>-866.5270737177602</v>
      </c>
      <c r="AC19" s="186" t="s">
        <v>217</v>
      </c>
      <c r="AD19" s="189">
        <v>-0.42481658623963137</v>
      </c>
      <c r="AE19" s="189">
        <v>-0.06814330449696772</v>
      </c>
      <c r="AF19" s="185">
        <v>0</v>
      </c>
      <c r="AG19" s="189">
        <v>-0.08519475660276887</v>
      </c>
      <c r="AH19" s="189">
        <v>-2.3572858118010904</v>
      </c>
      <c r="AI19" s="185">
        <v>0</v>
      </c>
      <c r="AJ19" s="185">
        <v>0</v>
      </c>
      <c r="AK19" s="185">
        <v>0</v>
      </c>
      <c r="AL19" s="185">
        <v>1.786200308321148</v>
      </c>
      <c r="AM19" s="207">
        <v>-1.1492401508193106</v>
      </c>
    </row>
    <row r="20" spans="1:39" s="110" customFormat="1" ht="10.5" customHeight="1">
      <c r="A20" s="186" t="s">
        <v>218</v>
      </c>
      <c r="B20" s="185">
        <f t="shared" si="0"/>
        <v>0</v>
      </c>
      <c r="C20" s="185">
        <f t="shared" si="1"/>
        <v>0</v>
      </c>
      <c r="D20" s="189">
        <f t="shared" si="2"/>
        <v>-124.69932131125555</v>
      </c>
      <c r="E20" s="189">
        <f t="shared" si="3"/>
        <v>124.81119901553305</v>
      </c>
      <c r="F20" s="185">
        <f t="shared" si="4"/>
        <v>0</v>
      </c>
      <c r="G20" s="185">
        <f t="shared" si="5"/>
        <v>0</v>
      </c>
      <c r="H20" s="185">
        <f t="shared" si="6"/>
        <v>0</v>
      </c>
      <c r="I20" s="185">
        <f t="shared" si="7"/>
        <v>0</v>
      </c>
      <c r="J20" s="185">
        <f t="shared" si="8"/>
        <v>0</v>
      </c>
      <c r="K20" s="207">
        <f t="shared" si="9"/>
        <v>0.11187770427750848</v>
      </c>
      <c r="O20" s="222" t="s">
        <v>218</v>
      </c>
      <c r="P20" s="113">
        <v>0</v>
      </c>
      <c r="Q20" s="113">
        <v>0</v>
      </c>
      <c r="R20" s="113">
        <v>-94023.28826868668</v>
      </c>
      <c r="S20" s="113">
        <v>94107.64405771192</v>
      </c>
      <c r="T20" s="113">
        <v>0</v>
      </c>
      <c r="U20" s="113">
        <v>0</v>
      </c>
      <c r="V20" s="113">
        <v>0</v>
      </c>
      <c r="W20" s="113">
        <v>0</v>
      </c>
      <c r="X20" s="113">
        <v>0</v>
      </c>
      <c r="Y20" s="214">
        <v>84.35578902524139</v>
      </c>
      <c r="AC20" s="186" t="s">
        <v>218</v>
      </c>
      <c r="AD20" s="185">
        <v>0</v>
      </c>
      <c r="AE20" s="185">
        <v>0</v>
      </c>
      <c r="AF20" s="189">
        <v>-124.69932131125555</v>
      </c>
      <c r="AG20" s="189">
        <v>124.81119901553305</v>
      </c>
      <c r="AH20" s="185">
        <v>0</v>
      </c>
      <c r="AI20" s="185">
        <v>0</v>
      </c>
      <c r="AJ20" s="185">
        <v>0</v>
      </c>
      <c r="AK20" s="185">
        <v>0</v>
      </c>
      <c r="AL20" s="185">
        <v>0</v>
      </c>
      <c r="AM20" s="207">
        <v>0.11187770427750848</v>
      </c>
    </row>
    <row r="21" spans="1:39" s="110" customFormat="1" ht="10.5" customHeight="1">
      <c r="A21" s="186" t="s">
        <v>219</v>
      </c>
      <c r="B21" s="189">
        <f t="shared" si="0"/>
        <v>-5.3671580232904965</v>
      </c>
      <c r="C21" s="189">
        <f t="shared" si="1"/>
        <v>5.316796967754447</v>
      </c>
      <c r="D21" s="185">
        <f t="shared" si="2"/>
        <v>0</v>
      </c>
      <c r="E21" s="185">
        <f t="shared" si="3"/>
        <v>0</v>
      </c>
      <c r="F21" s="185">
        <f t="shared" si="4"/>
        <v>0</v>
      </c>
      <c r="G21" s="185">
        <f t="shared" si="5"/>
        <v>0</v>
      </c>
      <c r="H21" s="185">
        <f t="shared" si="6"/>
        <v>0</v>
      </c>
      <c r="I21" s="185">
        <f t="shared" si="7"/>
        <v>0</v>
      </c>
      <c r="J21" s="185">
        <f t="shared" si="8"/>
        <v>0</v>
      </c>
      <c r="K21" s="207">
        <f t="shared" si="9"/>
        <v>-0.0503610555360491</v>
      </c>
      <c r="O21" s="222" t="s">
        <v>219</v>
      </c>
      <c r="P21" s="113">
        <v>-4046.8371495610345</v>
      </c>
      <c r="Q21" s="113">
        <v>4008.8649136868535</v>
      </c>
      <c r="R21" s="113">
        <v>0</v>
      </c>
      <c r="S21" s="113">
        <v>0</v>
      </c>
      <c r="T21" s="113">
        <v>0</v>
      </c>
      <c r="U21" s="113">
        <v>0</v>
      </c>
      <c r="V21" s="113">
        <v>0</v>
      </c>
      <c r="W21" s="113">
        <v>0</v>
      </c>
      <c r="X21" s="113">
        <v>0</v>
      </c>
      <c r="Y21" s="214">
        <v>-37.972235874181024</v>
      </c>
      <c r="AC21" s="186" t="s">
        <v>219</v>
      </c>
      <c r="AD21" s="189">
        <v>-5.3671580232904965</v>
      </c>
      <c r="AE21" s="189">
        <v>5.316796967754447</v>
      </c>
      <c r="AF21" s="185">
        <v>0</v>
      </c>
      <c r="AG21" s="185">
        <v>0</v>
      </c>
      <c r="AH21" s="185">
        <v>0</v>
      </c>
      <c r="AI21" s="185">
        <v>0</v>
      </c>
      <c r="AJ21" s="185">
        <v>0</v>
      </c>
      <c r="AK21" s="185">
        <v>0</v>
      </c>
      <c r="AL21" s="185">
        <v>0</v>
      </c>
      <c r="AM21" s="207">
        <v>-0.0503610555360491</v>
      </c>
    </row>
    <row r="22" spans="1:39" s="110" customFormat="1" ht="10.5" customHeight="1">
      <c r="A22" s="186" t="s">
        <v>220</v>
      </c>
      <c r="B22" s="189">
        <f t="shared" si="0"/>
        <v>-1.0019322079887067</v>
      </c>
      <c r="C22" s="189">
        <f t="shared" si="1"/>
        <v>-1.8826479887655</v>
      </c>
      <c r="D22" s="185">
        <f t="shared" si="2"/>
        <v>0</v>
      </c>
      <c r="E22" s="189">
        <f t="shared" si="3"/>
        <v>-0.37122026403936764</v>
      </c>
      <c r="F22" s="185">
        <f t="shared" si="4"/>
        <v>0</v>
      </c>
      <c r="G22" s="185">
        <f t="shared" si="5"/>
        <v>0</v>
      </c>
      <c r="H22" s="185">
        <f t="shared" si="6"/>
        <v>0</v>
      </c>
      <c r="I22" s="185">
        <f t="shared" si="7"/>
        <v>0</v>
      </c>
      <c r="J22" s="185">
        <f t="shared" si="8"/>
        <v>0</v>
      </c>
      <c r="K22" s="207">
        <f t="shared" si="9"/>
        <v>-3.2558004607935747</v>
      </c>
      <c r="O22" s="222" t="s">
        <v>220</v>
      </c>
      <c r="P22" s="113">
        <v>-755.4568848234849</v>
      </c>
      <c r="Q22" s="113">
        <v>-1419.516583529187</v>
      </c>
      <c r="R22" s="113">
        <v>0</v>
      </c>
      <c r="S22" s="113">
        <v>-279.9000790856832</v>
      </c>
      <c r="T22" s="113">
        <v>0</v>
      </c>
      <c r="U22" s="113">
        <v>0</v>
      </c>
      <c r="V22" s="113">
        <v>0</v>
      </c>
      <c r="W22" s="113">
        <v>0</v>
      </c>
      <c r="X22" s="113">
        <v>0</v>
      </c>
      <c r="Y22" s="214">
        <v>-2454.873547438355</v>
      </c>
      <c r="AC22" s="186" t="s">
        <v>220</v>
      </c>
      <c r="AD22" s="189">
        <v>-1.0019322079887067</v>
      </c>
      <c r="AE22" s="189">
        <v>-1.8826479887655</v>
      </c>
      <c r="AF22" s="185">
        <v>0</v>
      </c>
      <c r="AG22" s="189">
        <v>-0.37122026403936764</v>
      </c>
      <c r="AH22" s="185">
        <v>0</v>
      </c>
      <c r="AI22" s="185">
        <v>0</v>
      </c>
      <c r="AJ22" s="185">
        <v>0</v>
      </c>
      <c r="AK22" s="185">
        <v>0</v>
      </c>
      <c r="AL22" s="185">
        <v>0</v>
      </c>
      <c r="AM22" s="207">
        <v>-3.2558004607935747</v>
      </c>
    </row>
    <row r="23" spans="1:39" s="110" customFormat="1" ht="10.5" customHeight="1">
      <c r="A23" s="186" t="s">
        <v>221</v>
      </c>
      <c r="B23" s="189">
        <f t="shared" si="0"/>
        <v>-0.2508239289265226</v>
      </c>
      <c r="C23" s="189">
        <f t="shared" si="1"/>
        <v>0.2653745784718373</v>
      </c>
      <c r="D23" s="185">
        <f t="shared" si="2"/>
        <v>0</v>
      </c>
      <c r="E23" s="189">
        <f t="shared" si="3"/>
        <v>0</v>
      </c>
      <c r="F23" s="185">
        <f t="shared" si="4"/>
        <v>0</v>
      </c>
      <c r="G23" s="185">
        <f t="shared" si="5"/>
        <v>0</v>
      </c>
      <c r="H23" s="185">
        <f t="shared" si="6"/>
        <v>0</v>
      </c>
      <c r="I23" s="185">
        <f t="shared" si="7"/>
        <v>0</v>
      </c>
      <c r="J23" s="185">
        <f t="shared" si="8"/>
        <v>0</v>
      </c>
      <c r="K23" s="207">
        <f t="shared" si="9"/>
        <v>0.014550649545314733</v>
      </c>
      <c r="O23" s="222" t="s">
        <v>221</v>
      </c>
      <c r="P23" s="113">
        <v>-189.12124241059803</v>
      </c>
      <c r="Q23" s="113">
        <v>200.09243216776534</v>
      </c>
      <c r="R23" s="113">
        <v>0</v>
      </c>
      <c r="S23" s="113">
        <v>0</v>
      </c>
      <c r="T23" s="113">
        <v>0</v>
      </c>
      <c r="U23" s="113">
        <v>0</v>
      </c>
      <c r="V23" s="113">
        <v>0</v>
      </c>
      <c r="W23" s="113">
        <v>0</v>
      </c>
      <c r="X23" s="113">
        <v>0</v>
      </c>
      <c r="Y23" s="214">
        <v>10.97118975716731</v>
      </c>
      <c r="AC23" s="186" t="s">
        <v>221</v>
      </c>
      <c r="AD23" s="189">
        <v>-0.2508239289265226</v>
      </c>
      <c r="AE23" s="189">
        <v>0.2653745784718373</v>
      </c>
      <c r="AF23" s="185">
        <v>0</v>
      </c>
      <c r="AG23" s="189">
        <v>0</v>
      </c>
      <c r="AH23" s="185">
        <v>0</v>
      </c>
      <c r="AI23" s="185">
        <v>0</v>
      </c>
      <c r="AJ23" s="185">
        <v>0</v>
      </c>
      <c r="AK23" s="185">
        <v>0</v>
      </c>
      <c r="AL23" s="185">
        <v>0</v>
      </c>
      <c r="AM23" s="207">
        <v>0.014550649545314733</v>
      </c>
    </row>
    <row r="24" spans="1:39" s="110" customFormat="1" ht="10.5" customHeight="1">
      <c r="A24" s="195" t="s">
        <v>222</v>
      </c>
      <c r="B24" s="196">
        <f t="shared" si="0"/>
        <v>0</v>
      </c>
      <c r="C24" s="196">
        <f t="shared" si="1"/>
        <v>0</v>
      </c>
      <c r="D24" s="196">
        <f t="shared" si="2"/>
        <v>0</v>
      </c>
      <c r="E24" s="196">
        <f t="shared" si="3"/>
        <v>0</v>
      </c>
      <c r="F24" s="196">
        <f t="shared" si="4"/>
        <v>0</v>
      </c>
      <c r="G24" s="196">
        <f t="shared" si="5"/>
        <v>0</v>
      </c>
      <c r="H24" s="196">
        <f t="shared" si="6"/>
        <v>0</v>
      </c>
      <c r="I24" s="196">
        <f t="shared" si="7"/>
        <v>0</v>
      </c>
      <c r="J24" s="196">
        <f t="shared" si="8"/>
        <v>0</v>
      </c>
      <c r="K24" s="210">
        <f t="shared" si="9"/>
        <v>0</v>
      </c>
      <c r="O24" s="224" t="s">
        <v>222</v>
      </c>
      <c r="P24" s="120">
        <v>0</v>
      </c>
      <c r="Q24" s="120">
        <v>0</v>
      </c>
      <c r="R24" s="120">
        <v>0</v>
      </c>
      <c r="S24" s="120">
        <v>0</v>
      </c>
      <c r="T24" s="120">
        <v>0</v>
      </c>
      <c r="U24" s="120">
        <v>0</v>
      </c>
      <c r="V24" s="120">
        <v>0</v>
      </c>
      <c r="W24" s="120">
        <v>0</v>
      </c>
      <c r="X24" s="120">
        <v>0</v>
      </c>
      <c r="Y24" s="218">
        <v>0</v>
      </c>
      <c r="AC24" s="195" t="s">
        <v>222</v>
      </c>
      <c r="AD24" s="196">
        <v>0</v>
      </c>
      <c r="AE24" s="196">
        <v>0</v>
      </c>
      <c r="AF24" s="196">
        <v>0</v>
      </c>
      <c r="AG24" s="196">
        <v>0</v>
      </c>
      <c r="AH24" s="196">
        <v>0</v>
      </c>
      <c r="AI24" s="196">
        <v>0</v>
      </c>
      <c r="AJ24" s="196">
        <v>0</v>
      </c>
      <c r="AK24" s="196">
        <v>0</v>
      </c>
      <c r="AL24" s="196">
        <v>0</v>
      </c>
      <c r="AM24" s="210">
        <v>0</v>
      </c>
    </row>
    <row r="25" spans="1:39" s="110" customFormat="1" ht="10.5" customHeight="1">
      <c r="A25" s="197" t="s">
        <v>223</v>
      </c>
      <c r="B25" s="194">
        <f t="shared" si="0"/>
        <v>0.005423550017707404</v>
      </c>
      <c r="C25" s="194">
        <f t="shared" si="1"/>
        <v>1.087626024263742</v>
      </c>
      <c r="D25" s="194">
        <f t="shared" si="2"/>
        <v>0</v>
      </c>
      <c r="E25" s="194">
        <f t="shared" si="3"/>
        <v>7.9229423982808465</v>
      </c>
      <c r="F25" s="194">
        <f t="shared" si="4"/>
        <v>9.602140109527276</v>
      </c>
      <c r="G25" s="185">
        <f t="shared" si="5"/>
        <v>0</v>
      </c>
      <c r="H25" s="185">
        <f t="shared" si="6"/>
        <v>0</v>
      </c>
      <c r="I25" s="194">
        <f t="shared" si="7"/>
        <v>3.246608114643476</v>
      </c>
      <c r="J25" s="194">
        <f t="shared" si="8"/>
        <v>0.04970443991167912</v>
      </c>
      <c r="K25" s="209">
        <f t="shared" si="9"/>
        <v>21.91444463664473</v>
      </c>
      <c r="O25" s="221" t="s">
        <v>223</v>
      </c>
      <c r="P25" s="118">
        <v>4.089356713351383</v>
      </c>
      <c r="Q25" s="118">
        <v>820.0700222948616</v>
      </c>
      <c r="R25" s="118">
        <v>0</v>
      </c>
      <c r="S25" s="118">
        <v>5973.898568303758</v>
      </c>
      <c r="T25" s="118">
        <v>7240.013642583566</v>
      </c>
      <c r="U25" s="113">
        <v>0</v>
      </c>
      <c r="V25" s="113">
        <v>0</v>
      </c>
      <c r="W25" s="118">
        <v>2447.942518441181</v>
      </c>
      <c r="X25" s="118">
        <v>37.47714769340605</v>
      </c>
      <c r="Y25" s="217">
        <v>16523.491256030127</v>
      </c>
      <c r="AC25" s="197" t="s">
        <v>223</v>
      </c>
      <c r="AD25" s="194">
        <v>0.005423550017707404</v>
      </c>
      <c r="AE25" s="194">
        <v>1.087626024263742</v>
      </c>
      <c r="AF25" s="194">
        <v>0</v>
      </c>
      <c r="AG25" s="194">
        <v>7.9229423982808465</v>
      </c>
      <c r="AH25" s="194">
        <v>9.602140109527276</v>
      </c>
      <c r="AI25" s="185">
        <v>0</v>
      </c>
      <c r="AJ25" s="185">
        <v>0</v>
      </c>
      <c r="AK25" s="194">
        <v>3.246608114643476</v>
      </c>
      <c r="AL25" s="194">
        <v>0.04970443991167912</v>
      </c>
      <c r="AM25" s="209">
        <v>21.91444463664473</v>
      </c>
    </row>
    <row r="26" spans="1:39" s="110" customFormat="1" ht="10.5" customHeight="1">
      <c r="A26" s="186" t="s">
        <v>214</v>
      </c>
      <c r="B26" s="185">
        <f t="shared" si="0"/>
        <v>0</v>
      </c>
      <c r="C26" s="185">
        <f t="shared" si="1"/>
        <v>0</v>
      </c>
      <c r="D26" s="185">
        <f t="shared" si="2"/>
        <v>0</v>
      </c>
      <c r="E26" s="185">
        <f t="shared" si="3"/>
        <v>0</v>
      </c>
      <c r="F26" s="185">
        <f t="shared" si="4"/>
        <v>0</v>
      </c>
      <c r="G26" s="185">
        <f t="shared" si="5"/>
        <v>0</v>
      </c>
      <c r="H26" s="185">
        <f t="shared" si="6"/>
        <v>0</v>
      </c>
      <c r="I26" s="185">
        <f t="shared" si="7"/>
        <v>2.0353860844148093</v>
      </c>
      <c r="J26" s="185">
        <f t="shared" si="8"/>
        <v>0.0344641704546232</v>
      </c>
      <c r="K26" s="207">
        <f t="shared" si="9"/>
        <v>2.069850254869433</v>
      </c>
      <c r="O26" s="222" t="s">
        <v>214</v>
      </c>
      <c r="P26" s="113">
        <v>0</v>
      </c>
      <c r="Q26" s="113">
        <v>0</v>
      </c>
      <c r="R26" s="113">
        <v>0</v>
      </c>
      <c r="S26" s="113">
        <v>0</v>
      </c>
      <c r="T26" s="113">
        <v>0</v>
      </c>
      <c r="U26" s="113">
        <v>0</v>
      </c>
      <c r="V26" s="113">
        <v>0</v>
      </c>
      <c r="W26" s="113">
        <v>1534.6811076487663</v>
      </c>
      <c r="X26" s="113">
        <v>25.985984522785895</v>
      </c>
      <c r="Y26" s="214">
        <v>1560.6670921715522</v>
      </c>
      <c r="AC26" s="186" t="s">
        <v>214</v>
      </c>
      <c r="AD26" s="185">
        <v>0</v>
      </c>
      <c r="AE26" s="185">
        <v>0</v>
      </c>
      <c r="AF26" s="185">
        <v>0</v>
      </c>
      <c r="AG26" s="185">
        <v>0</v>
      </c>
      <c r="AH26" s="185">
        <v>0</v>
      </c>
      <c r="AI26" s="185">
        <v>0</v>
      </c>
      <c r="AJ26" s="185">
        <v>0</v>
      </c>
      <c r="AK26" s="185">
        <v>2.0353860844148093</v>
      </c>
      <c r="AL26" s="185">
        <v>0.0344641704546232</v>
      </c>
      <c r="AM26" s="207">
        <v>2.069850254869433</v>
      </c>
    </row>
    <row r="27" spans="1:39" s="110" customFormat="1" ht="10.5" customHeight="1">
      <c r="A27" s="186" t="s">
        <v>224</v>
      </c>
      <c r="B27" s="185">
        <f t="shared" si="0"/>
        <v>0</v>
      </c>
      <c r="C27" s="185">
        <f t="shared" si="1"/>
        <v>0</v>
      </c>
      <c r="D27" s="185">
        <f t="shared" si="2"/>
        <v>0</v>
      </c>
      <c r="E27" s="185">
        <f t="shared" si="3"/>
        <v>0</v>
      </c>
      <c r="F27" s="185">
        <f t="shared" si="4"/>
        <v>8.399135746086714</v>
      </c>
      <c r="G27" s="185">
        <f t="shared" si="5"/>
        <v>0</v>
      </c>
      <c r="H27" s="185">
        <f t="shared" si="6"/>
        <v>0</v>
      </c>
      <c r="I27" s="185">
        <f t="shared" si="7"/>
        <v>0.05762342884381607</v>
      </c>
      <c r="J27" s="185">
        <f t="shared" si="8"/>
        <v>0</v>
      </c>
      <c r="K27" s="207">
        <f t="shared" si="9"/>
        <v>8.456759174930529</v>
      </c>
      <c r="O27" s="222" t="s">
        <v>224</v>
      </c>
      <c r="P27" s="113">
        <v>0</v>
      </c>
      <c r="Q27" s="113">
        <v>0</v>
      </c>
      <c r="R27" s="113">
        <v>0</v>
      </c>
      <c r="S27" s="113">
        <v>0</v>
      </c>
      <c r="T27" s="113">
        <v>6332.9483525493815</v>
      </c>
      <c r="U27" s="113">
        <v>0</v>
      </c>
      <c r="V27" s="113">
        <v>0</v>
      </c>
      <c r="W27" s="113">
        <v>43.448065348237314</v>
      </c>
      <c r="X27" s="113">
        <v>0</v>
      </c>
      <c r="Y27" s="214">
        <v>6376.396417897618</v>
      </c>
      <c r="AC27" s="186" t="s">
        <v>224</v>
      </c>
      <c r="AD27" s="185">
        <v>0</v>
      </c>
      <c r="AE27" s="185">
        <v>0</v>
      </c>
      <c r="AF27" s="185">
        <v>0</v>
      </c>
      <c r="AG27" s="185">
        <v>0</v>
      </c>
      <c r="AH27" s="185">
        <v>8.399135746086714</v>
      </c>
      <c r="AI27" s="185">
        <v>0</v>
      </c>
      <c r="AJ27" s="185">
        <v>0</v>
      </c>
      <c r="AK27" s="185">
        <v>0.05762342884381607</v>
      </c>
      <c r="AL27" s="185">
        <v>0</v>
      </c>
      <c r="AM27" s="207">
        <v>8.456759174930529</v>
      </c>
    </row>
    <row r="28" spans="1:39" s="110" customFormat="1" ht="10.5" customHeight="1">
      <c r="A28" s="186" t="s">
        <v>218</v>
      </c>
      <c r="B28" s="185">
        <f t="shared" si="0"/>
        <v>0</v>
      </c>
      <c r="C28" s="185">
        <f t="shared" si="1"/>
        <v>0</v>
      </c>
      <c r="D28" s="185">
        <f t="shared" si="2"/>
        <v>0</v>
      </c>
      <c r="E28" s="185">
        <f t="shared" si="3"/>
        <v>7.922881638110808</v>
      </c>
      <c r="F28" s="185">
        <f t="shared" si="4"/>
        <v>0.22653810071177521</v>
      </c>
      <c r="G28" s="185">
        <f t="shared" si="5"/>
        <v>0</v>
      </c>
      <c r="H28" s="185">
        <f t="shared" si="6"/>
        <v>0</v>
      </c>
      <c r="I28" s="185">
        <f t="shared" si="7"/>
        <v>0.6413625473586771</v>
      </c>
      <c r="J28" s="185">
        <f t="shared" si="8"/>
        <v>0.015240269457055913</v>
      </c>
      <c r="K28" s="207">
        <f t="shared" si="9"/>
        <v>8.806022555638316</v>
      </c>
      <c r="O28" s="222" t="s">
        <v>218</v>
      </c>
      <c r="P28" s="113">
        <v>0</v>
      </c>
      <c r="Q28" s="113">
        <v>0</v>
      </c>
      <c r="R28" s="113">
        <v>0</v>
      </c>
      <c r="S28" s="113">
        <v>5973.852755135549</v>
      </c>
      <c r="T28" s="113">
        <v>170.8097279366785</v>
      </c>
      <c r="U28" s="113">
        <v>0</v>
      </c>
      <c r="V28" s="113">
        <v>0</v>
      </c>
      <c r="W28" s="113">
        <v>483.5873607084426</v>
      </c>
      <c r="X28" s="113">
        <v>11.491163170620158</v>
      </c>
      <c r="Y28" s="214">
        <v>6639.74100695129</v>
      </c>
      <c r="AC28" s="186" t="s">
        <v>218</v>
      </c>
      <c r="AD28" s="185">
        <v>0</v>
      </c>
      <c r="AE28" s="185">
        <v>0</v>
      </c>
      <c r="AF28" s="185">
        <v>0</v>
      </c>
      <c r="AG28" s="185">
        <v>7.922881638110808</v>
      </c>
      <c r="AH28" s="185">
        <v>0.22653810071177521</v>
      </c>
      <c r="AI28" s="185">
        <v>0</v>
      </c>
      <c r="AJ28" s="185">
        <v>0</v>
      </c>
      <c r="AK28" s="185">
        <v>0.6413625473586771</v>
      </c>
      <c r="AL28" s="185">
        <v>0.015240269457055913</v>
      </c>
      <c r="AM28" s="207">
        <v>8.806022555638316</v>
      </c>
    </row>
    <row r="29" spans="1:39" s="110" customFormat="1" ht="10.5" customHeight="1">
      <c r="A29" s="186" t="s">
        <v>225</v>
      </c>
      <c r="B29" s="185">
        <f t="shared" si="0"/>
        <v>0.005423550017707404</v>
      </c>
      <c r="C29" s="185">
        <f t="shared" si="1"/>
        <v>0</v>
      </c>
      <c r="D29" s="185">
        <f t="shared" si="2"/>
        <v>0</v>
      </c>
      <c r="E29" s="185">
        <f t="shared" si="3"/>
        <v>0</v>
      </c>
      <c r="F29" s="185">
        <f t="shared" si="4"/>
        <v>0.017105674294276896</v>
      </c>
      <c r="G29" s="185">
        <f t="shared" si="5"/>
        <v>0</v>
      </c>
      <c r="H29" s="185">
        <f t="shared" si="6"/>
        <v>0</v>
      </c>
      <c r="I29" s="185">
        <f t="shared" si="7"/>
        <v>0.1216028701040709</v>
      </c>
      <c r="J29" s="185">
        <f t="shared" si="8"/>
        <v>0</v>
      </c>
      <c r="K29" s="207">
        <f t="shared" si="9"/>
        <v>0.1441320944160552</v>
      </c>
      <c r="O29" s="222" t="s">
        <v>225</v>
      </c>
      <c r="P29" s="113">
        <v>4.089356713351383</v>
      </c>
      <c r="Q29" s="113">
        <v>0</v>
      </c>
      <c r="R29" s="113">
        <v>0</v>
      </c>
      <c r="S29" s="113">
        <v>0</v>
      </c>
      <c r="T29" s="113">
        <v>12.89767841788478</v>
      </c>
      <c r="U29" s="113">
        <v>0</v>
      </c>
      <c r="V29" s="113">
        <v>0</v>
      </c>
      <c r="W29" s="113">
        <v>91.68856405846947</v>
      </c>
      <c r="X29" s="113">
        <v>0</v>
      </c>
      <c r="Y29" s="214">
        <v>108.67559918970562</v>
      </c>
      <c r="AC29" s="186" t="s">
        <v>225</v>
      </c>
      <c r="AD29" s="185">
        <v>0.005423550017707404</v>
      </c>
      <c r="AE29" s="185">
        <v>0</v>
      </c>
      <c r="AF29" s="185">
        <v>0</v>
      </c>
      <c r="AG29" s="185">
        <v>0</v>
      </c>
      <c r="AH29" s="185">
        <v>0.017105674294276896</v>
      </c>
      <c r="AI29" s="185">
        <v>0</v>
      </c>
      <c r="AJ29" s="185">
        <v>0</v>
      </c>
      <c r="AK29" s="185">
        <v>0.1216028701040709</v>
      </c>
      <c r="AL29" s="185">
        <v>0</v>
      </c>
      <c r="AM29" s="207">
        <v>0.1441320944160552</v>
      </c>
    </row>
    <row r="30" spans="1:39" s="110" customFormat="1" ht="11.25" customHeight="1">
      <c r="A30" s="186" t="s">
        <v>219</v>
      </c>
      <c r="B30" s="185">
        <f t="shared" si="0"/>
        <v>0</v>
      </c>
      <c r="C30" s="185">
        <f t="shared" si="1"/>
        <v>0.5251772923758004</v>
      </c>
      <c r="D30" s="185">
        <f t="shared" si="2"/>
        <v>0</v>
      </c>
      <c r="E30" s="185">
        <f t="shared" si="3"/>
        <v>0</v>
      </c>
      <c r="F30" s="185">
        <f t="shared" si="4"/>
        <v>0</v>
      </c>
      <c r="G30" s="185">
        <f t="shared" si="5"/>
        <v>0</v>
      </c>
      <c r="H30" s="185">
        <f t="shared" si="6"/>
        <v>0</v>
      </c>
      <c r="I30" s="185">
        <f t="shared" si="7"/>
        <v>0.011204899359217079</v>
      </c>
      <c r="J30" s="185">
        <f t="shared" si="8"/>
        <v>0</v>
      </c>
      <c r="K30" s="207">
        <f t="shared" si="9"/>
        <v>0.5363821917350174</v>
      </c>
      <c r="O30" s="222" t="s">
        <v>219</v>
      </c>
      <c r="P30" s="113">
        <v>0</v>
      </c>
      <c r="Q30" s="113">
        <v>395.98367845135346</v>
      </c>
      <c r="R30" s="113">
        <v>0</v>
      </c>
      <c r="S30" s="113">
        <v>0</v>
      </c>
      <c r="T30" s="113">
        <v>0</v>
      </c>
      <c r="U30" s="113">
        <v>0</v>
      </c>
      <c r="V30" s="113">
        <v>0</v>
      </c>
      <c r="W30" s="113">
        <v>8.448494116849677</v>
      </c>
      <c r="X30" s="113">
        <v>0</v>
      </c>
      <c r="Y30" s="214">
        <v>404.43217256820316</v>
      </c>
      <c r="AC30" s="186" t="s">
        <v>219</v>
      </c>
      <c r="AD30" s="185">
        <v>0</v>
      </c>
      <c r="AE30" s="185">
        <v>0.5251772923758004</v>
      </c>
      <c r="AF30" s="185">
        <v>0</v>
      </c>
      <c r="AG30" s="185">
        <v>0</v>
      </c>
      <c r="AH30" s="185">
        <v>0</v>
      </c>
      <c r="AI30" s="185">
        <v>0</v>
      </c>
      <c r="AJ30" s="185">
        <v>0</v>
      </c>
      <c r="AK30" s="185">
        <v>0.011204899359217079</v>
      </c>
      <c r="AL30" s="185">
        <v>0</v>
      </c>
      <c r="AM30" s="207">
        <v>0.5363821917350174</v>
      </c>
    </row>
    <row r="31" spans="1:39" s="110" customFormat="1" ht="10.5" customHeight="1">
      <c r="A31" s="186" t="s">
        <v>220</v>
      </c>
      <c r="B31" s="185">
        <f t="shared" si="0"/>
        <v>0</v>
      </c>
      <c r="C31" s="185">
        <f t="shared" si="1"/>
        <v>0.5624487318879419</v>
      </c>
      <c r="D31" s="185">
        <f t="shared" si="2"/>
        <v>0</v>
      </c>
      <c r="E31" s="185">
        <f t="shared" si="3"/>
        <v>0</v>
      </c>
      <c r="F31" s="185">
        <f t="shared" si="4"/>
        <v>0.10728124862755474</v>
      </c>
      <c r="G31" s="185">
        <f t="shared" si="5"/>
        <v>0</v>
      </c>
      <c r="H31" s="185">
        <f t="shared" si="6"/>
        <v>0</v>
      </c>
      <c r="I31" s="185">
        <f t="shared" si="7"/>
        <v>0.058675945700313474</v>
      </c>
      <c r="J31" s="185">
        <f t="shared" si="8"/>
        <v>0</v>
      </c>
      <c r="K31" s="207">
        <f t="shared" si="9"/>
        <v>0.7284666863858487</v>
      </c>
      <c r="O31" s="222" t="s">
        <v>220</v>
      </c>
      <c r="P31" s="113">
        <v>0</v>
      </c>
      <c r="Q31" s="113">
        <v>424.08634384350813</v>
      </c>
      <c r="R31" s="113">
        <v>0</v>
      </c>
      <c r="S31" s="113">
        <v>0</v>
      </c>
      <c r="T31" s="113">
        <v>80.89006146517627</v>
      </c>
      <c r="U31" s="113">
        <v>0</v>
      </c>
      <c r="V31" s="113">
        <v>0</v>
      </c>
      <c r="W31" s="113">
        <v>44.24166305803636</v>
      </c>
      <c r="X31" s="113">
        <v>0</v>
      </c>
      <c r="Y31" s="214">
        <v>549.2638815349299</v>
      </c>
      <c r="AC31" s="186" t="s">
        <v>220</v>
      </c>
      <c r="AD31" s="185">
        <v>0</v>
      </c>
      <c r="AE31" s="185">
        <v>0.5624487318879419</v>
      </c>
      <c r="AF31" s="185">
        <v>0</v>
      </c>
      <c r="AG31" s="185">
        <v>0</v>
      </c>
      <c r="AH31" s="185">
        <v>0.10728124862755474</v>
      </c>
      <c r="AI31" s="185">
        <v>0</v>
      </c>
      <c r="AJ31" s="185">
        <v>0</v>
      </c>
      <c r="AK31" s="185">
        <v>0.058675945700313474</v>
      </c>
      <c r="AL31" s="185">
        <v>0</v>
      </c>
      <c r="AM31" s="207">
        <v>0.7284666863858487</v>
      </c>
    </row>
    <row r="32" spans="1:39" s="110" customFormat="1" ht="11.25" customHeight="1">
      <c r="A32" s="186" t="s">
        <v>221</v>
      </c>
      <c r="B32" s="185">
        <f t="shared" si="0"/>
        <v>0</v>
      </c>
      <c r="C32" s="185">
        <f t="shared" si="1"/>
        <v>0</v>
      </c>
      <c r="D32" s="185">
        <f t="shared" si="2"/>
        <v>0</v>
      </c>
      <c r="E32" s="185">
        <f t="shared" si="3"/>
        <v>0</v>
      </c>
      <c r="F32" s="185">
        <f t="shared" si="4"/>
        <v>0</v>
      </c>
      <c r="G32" s="185">
        <f t="shared" si="5"/>
        <v>0</v>
      </c>
      <c r="H32" s="185">
        <f t="shared" si="6"/>
        <v>0</v>
      </c>
      <c r="I32" s="185">
        <f t="shared" si="7"/>
        <v>0</v>
      </c>
      <c r="J32" s="185">
        <f t="shared" si="8"/>
        <v>0</v>
      </c>
      <c r="K32" s="207">
        <f t="shared" si="9"/>
        <v>0</v>
      </c>
      <c r="O32" s="222" t="s">
        <v>221</v>
      </c>
      <c r="P32" s="113">
        <v>0</v>
      </c>
      <c r="Q32" s="113">
        <v>0</v>
      </c>
      <c r="R32" s="113">
        <v>0</v>
      </c>
      <c r="S32" s="113">
        <v>0</v>
      </c>
      <c r="T32" s="113">
        <v>0</v>
      </c>
      <c r="U32" s="113">
        <v>0</v>
      </c>
      <c r="V32" s="113">
        <v>0</v>
      </c>
      <c r="W32" s="113">
        <v>0</v>
      </c>
      <c r="X32" s="113">
        <v>0</v>
      </c>
      <c r="Y32" s="214">
        <v>0</v>
      </c>
      <c r="AC32" s="186" t="s">
        <v>221</v>
      </c>
      <c r="AD32" s="185">
        <v>0</v>
      </c>
      <c r="AE32" s="185">
        <v>0</v>
      </c>
      <c r="AF32" s="185">
        <v>0</v>
      </c>
      <c r="AG32" s="185">
        <v>0</v>
      </c>
      <c r="AH32" s="185">
        <v>0</v>
      </c>
      <c r="AI32" s="185">
        <v>0</v>
      </c>
      <c r="AJ32" s="185">
        <v>0</v>
      </c>
      <c r="AK32" s="185">
        <v>0</v>
      </c>
      <c r="AL32" s="185">
        <v>0</v>
      </c>
      <c r="AM32" s="207">
        <v>0</v>
      </c>
    </row>
    <row r="33" spans="1:39" s="110" customFormat="1" ht="10.5" customHeight="1">
      <c r="A33" s="186" t="s">
        <v>226</v>
      </c>
      <c r="B33" s="185">
        <f t="shared" si="0"/>
        <v>0</v>
      </c>
      <c r="C33" s="185">
        <f t="shared" si="1"/>
        <v>0</v>
      </c>
      <c r="D33" s="185">
        <f t="shared" si="2"/>
        <v>0</v>
      </c>
      <c r="E33" s="185">
        <f t="shared" si="3"/>
        <v>0</v>
      </c>
      <c r="F33" s="185">
        <f t="shared" si="4"/>
        <v>0</v>
      </c>
      <c r="G33" s="185">
        <f t="shared" si="5"/>
        <v>0</v>
      </c>
      <c r="H33" s="185">
        <f t="shared" si="6"/>
        <v>0</v>
      </c>
      <c r="I33" s="189">
        <f t="shared" si="7"/>
        <v>0.08861487287062869</v>
      </c>
      <c r="J33" s="185">
        <f t="shared" si="8"/>
        <v>0</v>
      </c>
      <c r="K33" s="207">
        <f t="shared" si="9"/>
        <v>0.08861487287062869</v>
      </c>
      <c r="O33" s="222" t="s">
        <v>226</v>
      </c>
      <c r="P33" s="113">
        <v>0</v>
      </c>
      <c r="Q33" s="113">
        <v>0</v>
      </c>
      <c r="R33" s="113">
        <v>0</v>
      </c>
      <c r="S33" s="113">
        <v>0</v>
      </c>
      <c r="T33" s="113">
        <v>0</v>
      </c>
      <c r="U33" s="113">
        <v>0</v>
      </c>
      <c r="V33" s="113">
        <v>0</v>
      </c>
      <c r="W33" s="113">
        <v>66.81561414445403</v>
      </c>
      <c r="X33" s="113">
        <v>0</v>
      </c>
      <c r="Y33" s="214">
        <v>66.81561414445403</v>
      </c>
      <c r="AC33" s="186" t="s">
        <v>226</v>
      </c>
      <c r="AD33" s="185">
        <v>0</v>
      </c>
      <c r="AE33" s="185">
        <v>0</v>
      </c>
      <c r="AF33" s="185">
        <v>0</v>
      </c>
      <c r="AG33" s="185">
        <v>0</v>
      </c>
      <c r="AH33" s="185">
        <v>0</v>
      </c>
      <c r="AI33" s="185">
        <v>0</v>
      </c>
      <c r="AJ33" s="185">
        <v>0</v>
      </c>
      <c r="AK33" s="189">
        <v>0.08861487287062869</v>
      </c>
      <c r="AL33" s="185">
        <v>0</v>
      </c>
      <c r="AM33" s="207">
        <v>0.08861487287062869</v>
      </c>
    </row>
    <row r="34" spans="1:39" s="110" customFormat="1" ht="10.5" customHeight="1">
      <c r="A34" s="186" t="s">
        <v>222</v>
      </c>
      <c r="B34" s="185">
        <f t="shared" si="0"/>
        <v>0</v>
      </c>
      <c r="C34" s="185">
        <f t="shared" si="1"/>
        <v>0</v>
      </c>
      <c r="D34" s="185">
        <f t="shared" si="2"/>
        <v>0</v>
      </c>
      <c r="E34" s="185">
        <f t="shared" si="3"/>
        <v>0</v>
      </c>
      <c r="F34" s="189">
        <f t="shared" si="4"/>
        <v>0.8520793398069554</v>
      </c>
      <c r="G34" s="185">
        <f t="shared" si="5"/>
        <v>0</v>
      </c>
      <c r="H34" s="185">
        <f t="shared" si="6"/>
        <v>0</v>
      </c>
      <c r="I34" s="189">
        <f t="shared" si="7"/>
        <v>0.2321374659919429</v>
      </c>
      <c r="J34" s="185">
        <f t="shared" si="8"/>
        <v>0</v>
      </c>
      <c r="K34" s="207">
        <f t="shared" si="9"/>
        <v>1.0842168057988983</v>
      </c>
      <c r="O34" s="222" t="s">
        <v>222</v>
      </c>
      <c r="P34" s="113">
        <v>0</v>
      </c>
      <c r="Q34" s="113">
        <v>0</v>
      </c>
      <c r="R34" s="113">
        <v>0</v>
      </c>
      <c r="S34" s="113">
        <v>0</v>
      </c>
      <c r="T34" s="113">
        <v>642.4678222144444</v>
      </c>
      <c r="U34" s="113">
        <v>0</v>
      </c>
      <c r="V34" s="113">
        <v>0</v>
      </c>
      <c r="W34" s="113">
        <v>175.03164935792495</v>
      </c>
      <c r="X34" s="113">
        <v>0</v>
      </c>
      <c r="Y34" s="214">
        <v>817.4994715723693</v>
      </c>
      <c r="AC34" s="186" t="s">
        <v>222</v>
      </c>
      <c r="AD34" s="185">
        <v>0</v>
      </c>
      <c r="AE34" s="185">
        <v>0</v>
      </c>
      <c r="AF34" s="185">
        <v>0</v>
      </c>
      <c r="AG34" s="185">
        <v>0</v>
      </c>
      <c r="AH34" s="189">
        <v>0.8520793398069554</v>
      </c>
      <c r="AI34" s="185">
        <v>0</v>
      </c>
      <c r="AJ34" s="185">
        <v>0</v>
      </c>
      <c r="AK34" s="189">
        <v>0.2321374659919429</v>
      </c>
      <c r="AL34" s="185">
        <v>0</v>
      </c>
      <c r="AM34" s="207">
        <v>1.0842168057988983</v>
      </c>
    </row>
    <row r="35" spans="1:39" s="110" customFormat="1" ht="10.5" customHeight="1">
      <c r="A35" s="198" t="s">
        <v>227</v>
      </c>
      <c r="B35" s="194">
        <f t="shared" si="0"/>
        <v>0</v>
      </c>
      <c r="C35" s="194">
        <f t="shared" si="1"/>
        <v>0.2800309030039845</v>
      </c>
      <c r="D35" s="194">
        <f t="shared" si="2"/>
        <v>0</v>
      </c>
      <c r="E35" s="194">
        <f t="shared" si="3"/>
        <v>0</v>
      </c>
      <c r="F35" s="194">
        <f t="shared" si="4"/>
        <v>1.219041631799851</v>
      </c>
      <c r="G35" s="194">
        <f t="shared" si="5"/>
        <v>0</v>
      </c>
      <c r="H35" s="194">
        <f t="shared" si="6"/>
        <v>0</v>
      </c>
      <c r="I35" s="194">
        <f t="shared" si="7"/>
        <v>3.493874869294952</v>
      </c>
      <c r="J35" s="185">
        <f t="shared" si="8"/>
        <v>0</v>
      </c>
      <c r="K35" s="209">
        <f t="shared" si="9"/>
        <v>4.992947404098787</v>
      </c>
      <c r="O35" s="225" t="s">
        <v>227</v>
      </c>
      <c r="P35" s="118">
        <v>0</v>
      </c>
      <c r="Q35" s="118">
        <v>211.1433008650043</v>
      </c>
      <c r="R35" s="118">
        <v>0</v>
      </c>
      <c r="S35" s="118">
        <v>0</v>
      </c>
      <c r="T35" s="118">
        <v>919.1573903770876</v>
      </c>
      <c r="U35" s="118">
        <v>0</v>
      </c>
      <c r="V35" s="118">
        <v>0</v>
      </c>
      <c r="W35" s="118">
        <v>2634.3816514483938</v>
      </c>
      <c r="X35" s="113">
        <v>0</v>
      </c>
      <c r="Y35" s="217">
        <v>3764.6823426904857</v>
      </c>
      <c r="AC35" s="198" t="s">
        <v>227</v>
      </c>
      <c r="AD35" s="194">
        <v>0</v>
      </c>
      <c r="AE35" s="194">
        <v>0.2800309030039845</v>
      </c>
      <c r="AF35" s="194">
        <v>0</v>
      </c>
      <c r="AG35" s="194">
        <v>0</v>
      </c>
      <c r="AH35" s="194">
        <v>1.219041631799851</v>
      </c>
      <c r="AI35" s="194">
        <v>0</v>
      </c>
      <c r="AJ35" s="194">
        <v>0</v>
      </c>
      <c r="AK35" s="194">
        <v>3.493874869294952</v>
      </c>
      <c r="AL35" s="185">
        <v>0</v>
      </c>
      <c r="AM35" s="209">
        <v>4.992947404098787</v>
      </c>
    </row>
    <row r="36" spans="1:39" s="110" customFormat="1" ht="10.5" customHeight="1">
      <c r="A36" s="199" t="s">
        <v>228</v>
      </c>
      <c r="B36" s="192">
        <f t="shared" si="0"/>
        <v>2.2340813006054123</v>
      </c>
      <c r="C36" s="192">
        <f t="shared" si="1"/>
        <v>1.3999190171665514</v>
      </c>
      <c r="D36" s="192">
        <f t="shared" si="2"/>
        <v>0</v>
      </c>
      <c r="E36" s="192">
        <f t="shared" si="3"/>
        <v>108.94580655304455</v>
      </c>
      <c r="F36" s="192">
        <f t="shared" si="4"/>
        <v>73.78250934573057</v>
      </c>
      <c r="G36" s="192">
        <f t="shared" si="5"/>
        <v>0.7960079575596818</v>
      </c>
      <c r="H36" s="192">
        <f t="shared" si="6"/>
        <v>0</v>
      </c>
      <c r="I36" s="192">
        <f t="shared" si="7"/>
        <v>39.36898120872288</v>
      </c>
      <c r="J36" s="192">
        <f t="shared" si="8"/>
        <v>1.7364958684094687</v>
      </c>
      <c r="K36" s="208">
        <f t="shared" si="9"/>
        <v>228.26380125123907</v>
      </c>
      <c r="O36" s="226" t="s">
        <v>228</v>
      </c>
      <c r="P36" s="116">
        <v>1684.4973006564808</v>
      </c>
      <c r="Q36" s="116">
        <v>1055.5389389435798</v>
      </c>
      <c r="R36" s="116">
        <v>0</v>
      </c>
      <c r="S36" s="116">
        <v>82145.1381409956</v>
      </c>
      <c r="T36" s="116">
        <v>55632.01204668085</v>
      </c>
      <c r="U36" s="116">
        <v>600.19</v>
      </c>
      <c r="V36" s="116"/>
      <c r="W36" s="116">
        <v>29684.211831377048</v>
      </c>
      <c r="X36" s="116">
        <v>1309.3178847807394</v>
      </c>
      <c r="Y36" s="216">
        <v>172110.90614343426</v>
      </c>
      <c r="AC36" s="199" t="s">
        <v>228</v>
      </c>
      <c r="AD36" s="192">
        <v>2.2340813006054123</v>
      </c>
      <c r="AE36" s="192">
        <v>1.3999190171665514</v>
      </c>
      <c r="AF36" s="192">
        <v>0</v>
      </c>
      <c r="AG36" s="192">
        <v>108.94580655304455</v>
      </c>
      <c r="AH36" s="192">
        <v>73.78250934573057</v>
      </c>
      <c r="AI36" s="192">
        <v>0.7960079575596818</v>
      </c>
      <c r="AJ36" s="192">
        <v>0</v>
      </c>
      <c r="AK36" s="192">
        <v>39.36898120872288</v>
      </c>
      <c r="AL36" s="192">
        <v>1.7364958684094687</v>
      </c>
      <c r="AM36" s="208">
        <v>228.26380125123907</v>
      </c>
    </row>
    <row r="37" spans="1:39" s="110" customFormat="1" ht="10.5" customHeight="1">
      <c r="A37" s="184" t="s">
        <v>12</v>
      </c>
      <c r="B37" s="194">
        <f aca="true" t="shared" si="10" ref="B37:B63">P37/754</f>
        <v>1.5757802992014767</v>
      </c>
      <c r="C37" s="194">
        <f aca="true" t="shared" si="11" ref="C37:C63">Q37/754</f>
        <v>1.1031349974748015</v>
      </c>
      <c r="D37" s="185">
        <f aca="true" t="shared" si="12" ref="D37:D63">R37/754</f>
        <v>0</v>
      </c>
      <c r="E37" s="194">
        <f aca="true" t="shared" si="13" ref="E37:E63">S37/754</f>
        <v>9.37054058256851</v>
      </c>
      <c r="F37" s="194">
        <f aca="true" t="shared" si="14" ref="F37:F63">T37/754</f>
        <v>16.962847972492234</v>
      </c>
      <c r="G37" s="194">
        <f aca="true" t="shared" si="15" ref="G37:G63">U37/754</f>
        <v>0.1996551724137931</v>
      </c>
      <c r="H37" s="194">
        <f aca="true" t="shared" si="16" ref="H37:H63">V37/754</f>
        <v>0</v>
      </c>
      <c r="I37" s="194">
        <f aca="true" t="shared" si="17" ref="I37:I63">W37/754</f>
        <v>13.549977091926781</v>
      </c>
      <c r="J37" s="194">
        <f aca="true" t="shared" si="18" ref="J37:J63">X37/754</f>
        <v>1.1306018848172315</v>
      </c>
      <c r="K37" s="209">
        <f aca="true" t="shared" si="19" ref="K37:K63">Y37/754</f>
        <v>43.89253800089483</v>
      </c>
      <c r="O37" s="221" t="s">
        <v>12</v>
      </c>
      <c r="P37" s="118">
        <v>1188.1383455979135</v>
      </c>
      <c r="Q37" s="118">
        <v>831.7637880960003</v>
      </c>
      <c r="R37" s="113">
        <v>0</v>
      </c>
      <c r="S37" s="118">
        <v>7065.387599256657</v>
      </c>
      <c r="T37" s="118">
        <v>12789.987371259143</v>
      </c>
      <c r="U37" s="118">
        <v>150.54</v>
      </c>
      <c r="V37" s="118">
        <v>0</v>
      </c>
      <c r="W37" s="118">
        <v>10216.682727312793</v>
      </c>
      <c r="X37" s="118">
        <v>852.4738211521925</v>
      </c>
      <c r="Y37" s="217">
        <v>33094.9736526747</v>
      </c>
      <c r="AC37" s="184" t="s">
        <v>12</v>
      </c>
      <c r="AD37" s="194">
        <v>1.5757802992014767</v>
      </c>
      <c r="AE37" s="194">
        <v>1.1031349974748015</v>
      </c>
      <c r="AF37" s="185">
        <v>0</v>
      </c>
      <c r="AG37" s="194">
        <v>9.37054058256851</v>
      </c>
      <c r="AH37" s="194">
        <v>16.962847972492234</v>
      </c>
      <c r="AI37" s="194">
        <v>0.1996551724137931</v>
      </c>
      <c r="AJ37" s="194">
        <v>0</v>
      </c>
      <c r="AK37" s="194">
        <v>13.549977091926781</v>
      </c>
      <c r="AL37" s="194">
        <v>1.1306018848172315</v>
      </c>
      <c r="AM37" s="209">
        <v>43.89253800089483</v>
      </c>
    </row>
    <row r="38" spans="1:39" s="110" customFormat="1" ht="10.5" customHeight="1">
      <c r="A38" s="186" t="s">
        <v>229</v>
      </c>
      <c r="B38" s="185">
        <f t="shared" si="10"/>
        <v>0</v>
      </c>
      <c r="C38" s="185">
        <f t="shared" si="11"/>
        <v>0.3169005209578512</v>
      </c>
      <c r="D38" s="185">
        <f t="shared" si="12"/>
        <v>0</v>
      </c>
      <c r="E38" s="185">
        <f t="shared" si="13"/>
        <v>3.5344728714912845</v>
      </c>
      <c r="F38" s="185">
        <f t="shared" si="14"/>
        <v>0.007412458860853322</v>
      </c>
      <c r="G38" s="185">
        <f t="shared" si="15"/>
        <v>0.1996551724137931</v>
      </c>
      <c r="H38" s="194">
        <f t="shared" si="16"/>
        <v>0</v>
      </c>
      <c r="I38" s="185">
        <f t="shared" si="17"/>
        <v>0</v>
      </c>
      <c r="J38" s="194">
        <f t="shared" si="18"/>
        <v>0</v>
      </c>
      <c r="K38" s="207">
        <f t="shared" si="19"/>
        <v>4.058441023723782</v>
      </c>
      <c r="O38" s="222" t="s">
        <v>229</v>
      </c>
      <c r="P38" s="113">
        <v>0</v>
      </c>
      <c r="Q38" s="113">
        <v>238.9429928022198</v>
      </c>
      <c r="R38" s="113">
        <v>0</v>
      </c>
      <c r="S38" s="113">
        <v>2664.9925451044287</v>
      </c>
      <c r="T38" s="113">
        <v>5.588993981083405</v>
      </c>
      <c r="U38" s="113">
        <v>150.54</v>
      </c>
      <c r="V38" s="118">
        <v>0</v>
      </c>
      <c r="W38" s="113">
        <v>0</v>
      </c>
      <c r="X38" s="118">
        <v>0</v>
      </c>
      <c r="Y38" s="214">
        <v>3060.064531887732</v>
      </c>
      <c r="AC38" s="186" t="s">
        <v>229</v>
      </c>
      <c r="AD38" s="185">
        <v>0</v>
      </c>
      <c r="AE38" s="185">
        <v>0.3169005209578512</v>
      </c>
      <c r="AF38" s="185">
        <v>0</v>
      </c>
      <c r="AG38" s="185">
        <v>3.5344728714912845</v>
      </c>
      <c r="AH38" s="185">
        <v>0.007412458860853322</v>
      </c>
      <c r="AI38" s="185">
        <v>0.1996551724137931</v>
      </c>
      <c r="AJ38" s="194">
        <v>0</v>
      </c>
      <c r="AK38" s="185">
        <v>0</v>
      </c>
      <c r="AL38" s="194">
        <v>0</v>
      </c>
      <c r="AM38" s="207">
        <v>4.058441023723782</v>
      </c>
    </row>
    <row r="39" spans="1:39" s="110" customFormat="1" ht="11.25" customHeight="1">
      <c r="A39" s="186" t="s">
        <v>230</v>
      </c>
      <c r="B39" s="185">
        <f t="shared" si="10"/>
        <v>0</v>
      </c>
      <c r="C39" s="185">
        <f t="shared" si="11"/>
        <v>0.7862344765169503</v>
      </c>
      <c r="D39" s="185">
        <f t="shared" si="12"/>
        <v>0</v>
      </c>
      <c r="E39" s="185">
        <f t="shared" si="13"/>
        <v>0.019569354867215828</v>
      </c>
      <c r="F39" s="185">
        <f t="shared" si="14"/>
        <v>0.9590200834709389</v>
      </c>
      <c r="G39" s="185">
        <f t="shared" si="15"/>
        <v>0</v>
      </c>
      <c r="H39" s="194">
        <f t="shared" si="16"/>
        <v>0</v>
      </c>
      <c r="I39" s="185">
        <f t="shared" si="17"/>
        <v>0.5723933069870533</v>
      </c>
      <c r="J39" s="194">
        <f t="shared" si="18"/>
        <v>0</v>
      </c>
      <c r="K39" s="207">
        <f t="shared" si="19"/>
        <v>2.3372172218421583</v>
      </c>
      <c r="O39" s="222" t="s">
        <v>230</v>
      </c>
      <c r="P39" s="113">
        <v>0</v>
      </c>
      <c r="Q39" s="113">
        <v>592.8207952937805</v>
      </c>
      <c r="R39" s="113">
        <v>0</v>
      </c>
      <c r="S39" s="113">
        <v>14.755293569880733</v>
      </c>
      <c r="T39" s="113">
        <v>723.101142937088</v>
      </c>
      <c r="U39" s="113">
        <v>0</v>
      </c>
      <c r="V39" s="118">
        <v>0</v>
      </c>
      <c r="W39" s="113">
        <v>431.58455346823814</v>
      </c>
      <c r="X39" s="118">
        <v>0</v>
      </c>
      <c r="Y39" s="214">
        <v>1762.2617852689873</v>
      </c>
      <c r="AC39" s="186" t="s">
        <v>230</v>
      </c>
      <c r="AD39" s="185">
        <v>0</v>
      </c>
      <c r="AE39" s="185">
        <v>0.7862344765169503</v>
      </c>
      <c r="AF39" s="185">
        <v>0</v>
      </c>
      <c r="AG39" s="185">
        <v>0.019569354867215828</v>
      </c>
      <c r="AH39" s="185">
        <v>0.9590200834709389</v>
      </c>
      <c r="AI39" s="185">
        <v>0</v>
      </c>
      <c r="AJ39" s="194">
        <v>0</v>
      </c>
      <c r="AK39" s="185">
        <v>0.5723933069870533</v>
      </c>
      <c r="AL39" s="194">
        <v>0</v>
      </c>
      <c r="AM39" s="207">
        <v>2.3372172218421583</v>
      </c>
    </row>
    <row r="40" spans="1:39" s="110" customFormat="1" ht="11.25" customHeight="1">
      <c r="A40" s="186" t="s">
        <v>231</v>
      </c>
      <c r="B40" s="185">
        <f t="shared" si="10"/>
        <v>0.03170782495635867</v>
      </c>
      <c r="C40" s="185">
        <f t="shared" si="11"/>
        <v>0</v>
      </c>
      <c r="D40" s="185">
        <f t="shared" si="12"/>
        <v>0</v>
      </c>
      <c r="E40" s="185">
        <f t="shared" si="13"/>
        <v>0.07046382424564153</v>
      </c>
      <c r="F40" s="185">
        <f t="shared" si="14"/>
        <v>0.3586568744750823</v>
      </c>
      <c r="G40" s="185">
        <f t="shared" si="15"/>
        <v>0</v>
      </c>
      <c r="H40" s="194">
        <f t="shared" si="16"/>
        <v>0</v>
      </c>
      <c r="I40" s="185">
        <f t="shared" si="17"/>
        <v>0.8760240430996935</v>
      </c>
      <c r="J40" s="194">
        <f t="shared" si="18"/>
        <v>0</v>
      </c>
      <c r="K40" s="207">
        <f t="shared" si="19"/>
        <v>1.3368525667767759</v>
      </c>
      <c r="O40" s="222" t="s">
        <v>231</v>
      </c>
      <c r="P40" s="113">
        <v>23.907700017094434</v>
      </c>
      <c r="Q40" s="113">
        <v>0</v>
      </c>
      <c r="R40" s="113">
        <v>0</v>
      </c>
      <c r="S40" s="113">
        <v>53.129723481213716</v>
      </c>
      <c r="T40" s="113">
        <v>270.4272833542121</v>
      </c>
      <c r="U40" s="113">
        <v>0</v>
      </c>
      <c r="V40" s="118">
        <v>0</v>
      </c>
      <c r="W40" s="113">
        <v>660.5221284971689</v>
      </c>
      <c r="X40" s="118">
        <v>0</v>
      </c>
      <c r="Y40" s="214">
        <v>1007.986835349689</v>
      </c>
      <c r="AC40" s="186" t="s">
        <v>231</v>
      </c>
      <c r="AD40" s="185">
        <v>0.03170782495635867</v>
      </c>
      <c r="AE40" s="185">
        <v>0</v>
      </c>
      <c r="AF40" s="185">
        <v>0</v>
      </c>
      <c r="AG40" s="185">
        <v>0.07046382424564153</v>
      </c>
      <c r="AH40" s="185">
        <v>0.3586568744750823</v>
      </c>
      <c r="AI40" s="185">
        <v>0</v>
      </c>
      <c r="AJ40" s="194">
        <v>0</v>
      </c>
      <c r="AK40" s="185">
        <v>0.8760240430996935</v>
      </c>
      <c r="AL40" s="194">
        <v>0</v>
      </c>
      <c r="AM40" s="207">
        <v>1.3368525667767759</v>
      </c>
    </row>
    <row r="41" spans="1:39" s="110" customFormat="1" ht="10.5" customHeight="1">
      <c r="A41" s="186" t="s">
        <v>232</v>
      </c>
      <c r="B41" s="185">
        <f t="shared" si="10"/>
        <v>0.9898077432594589</v>
      </c>
      <c r="C41" s="185">
        <f t="shared" si="11"/>
        <v>0</v>
      </c>
      <c r="D41" s="185">
        <f t="shared" si="12"/>
        <v>0</v>
      </c>
      <c r="E41" s="185">
        <f t="shared" si="13"/>
        <v>0.2865531032546819</v>
      </c>
      <c r="F41" s="185">
        <f t="shared" si="14"/>
        <v>1.4683467492420894</v>
      </c>
      <c r="G41" s="185">
        <f t="shared" si="15"/>
        <v>0</v>
      </c>
      <c r="H41" s="194">
        <f t="shared" si="16"/>
        <v>0</v>
      </c>
      <c r="I41" s="185">
        <f t="shared" si="17"/>
        <v>0.9082714947195144</v>
      </c>
      <c r="J41" s="185">
        <f t="shared" si="18"/>
        <v>0</v>
      </c>
      <c r="K41" s="207">
        <f t="shared" si="19"/>
        <v>3.6529790904757444</v>
      </c>
      <c r="O41" s="222" t="s">
        <v>232</v>
      </c>
      <c r="P41" s="113">
        <v>746.315038417632</v>
      </c>
      <c r="Q41" s="113">
        <v>0</v>
      </c>
      <c r="R41" s="113">
        <v>0</v>
      </c>
      <c r="S41" s="113">
        <v>216.06103985403016</v>
      </c>
      <c r="T41" s="113">
        <v>1107.1334489285355</v>
      </c>
      <c r="U41" s="113">
        <v>0</v>
      </c>
      <c r="V41" s="118">
        <v>0</v>
      </c>
      <c r="W41" s="113">
        <v>684.8367070185138</v>
      </c>
      <c r="X41" s="113">
        <v>0</v>
      </c>
      <c r="Y41" s="214">
        <v>2754.3462342187113</v>
      </c>
      <c r="AC41" s="186" t="s">
        <v>232</v>
      </c>
      <c r="AD41" s="185">
        <v>0.9898077432594589</v>
      </c>
      <c r="AE41" s="185">
        <v>0</v>
      </c>
      <c r="AF41" s="185">
        <v>0</v>
      </c>
      <c r="AG41" s="185">
        <v>0.2865531032546819</v>
      </c>
      <c r="AH41" s="185">
        <v>1.4683467492420894</v>
      </c>
      <c r="AI41" s="185">
        <v>0</v>
      </c>
      <c r="AJ41" s="194">
        <v>0</v>
      </c>
      <c r="AK41" s="185">
        <v>0.9082714947195144</v>
      </c>
      <c r="AL41" s="185">
        <v>0</v>
      </c>
      <c r="AM41" s="207">
        <v>3.6529790904757444</v>
      </c>
    </row>
    <row r="42" spans="1:39" s="110" customFormat="1" ht="10.5" customHeight="1">
      <c r="A42" s="186" t="s">
        <v>233</v>
      </c>
      <c r="B42" s="185">
        <f t="shared" si="10"/>
        <v>0.1186078765922822</v>
      </c>
      <c r="C42" s="185">
        <f t="shared" si="11"/>
        <v>0</v>
      </c>
      <c r="D42" s="185">
        <f t="shared" si="12"/>
        <v>0</v>
      </c>
      <c r="E42" s="185">
        <f t="shared" si="13"/>
        <v>0.25686368907229284</v>
      </c>
      <c r="F42" s="185">
        <f t="shared" si="14"/>
        <v>4.723654462309567</v>
      </c>
      <c r="G42" s="185">
        <f t="shared" si="15"/>
        <v>0</v>
      </c>
      <c r="H42" s="194">
        <f t="shared" si="16"/>
        <v>0</v>
      </c>
      <c r="I42" s="185">
        <f t="shared" si="17"/>
        <v>2.64127454198935</v>
      </c>
      <c r="J42" s="185">
        <f t="shared" si="18"/>
        <v>0.5127026737309299</v>
      </c>
      <c r="K42" s="207">
        <f t="shared" si="19"/>
        <v>8.253103243694424</v>
      </c>
      <c r="O42" s="222" t="s">
        <v>233</v>
      </c>
      <c r="P42" s="113">
        <v>89.43033895058078</v>
      </c>
      <c r="Q42" s="113">
        <v>0</v>
      </c>
      <c r="R42" s="113">
        <v>0</v>
      </c>
      <c r="S42" s="113">
        <v>193.67522156050882</v>
      </c>
      <c r="T42" s="113">
        <v>3561.635464581414</v>
      </c>
      <c r="U42" s="113">
        <v>0</v>
      </c>
      <c r="V42" s="118">
        <v>0</v>
      </c>
      <c r="W42" s="113">
        <v>1991.52100465997</v>
      </c>
      <c r="X42" s="113">
        <v>386.5778159931212</v>
      </c>
      <c r="Y42" s="214">
        <v>6222.839845745595</v>
      </c>
      <c r="AC42" s="186" t="s">
        <v>233</v>
      </c>
      <c r="AD42" s="185">
        <v>0.1186078765922822</v>
      </c>
      <c r="AE42" s="185">
        <v>0</v>
      </c>
      <c r="AF42" s="185">
        <v>0</v>
      </c>
      <c r="AG42" s="185">
        <v>0.25686368907229284</v>
      </c>
      <c r="AH42" s="185">
        <v>4.723654462309567</v>
      </c>
      <c r="AI42" s="185">
        <v>0</v>
      </c>
      <c r="AJ42" s="194">
        <v>0</v>
      </c>
      <c r="AK42" s="185">
        <v>2.64127454198935</v>
      </c>
      <c r="AL42" s="185">
        <v>0.5127026737309299</v>
      </c>
      <c r="AM42" s="207">
        <v>8.253103243694424</v>
      </c>
    </row>
    <row r="43" spans="1:39" s="110" customFormat="1" ht="10.5" customHeight="1">
      <c r="A43" s="186" t="s">
        <v>234</v>
      </c>
      <c r="B43" s="185">
        <f t="shared" si="10"/>
        <v>0.01288884743712397</v>
      </c>
      <c r="C43" s="185">
        <f t="shared" si="11"/>
        <v>0</v>
      </c>
      <c r="D43" s="185">
        <f t="shared" si="12"/>
        <v>0</v>
      </c>
      <c r="E43" s="185">
        <f t="shared" si="13"/>
        <v>0.15597116446604292</v>
      </c>
      <c r="F43" s="185">
        <f t="shared" si="14"/>
        <v>0.9663287852164639</v>
      </c>
      <c r="G43" s="185">
        <f t="shared" si="15"/>
        <v>0</v>
      </c>
      <c r="H43" s="194">
        <f t="shared" si="16"/>
        <v>0</v>
      </c>
      <c r="I43" s="185">
        <f t="shared" si="17"/>
        <v>0.9915945366136255</v>
      </c>
      <c r="J43" s="185">
        <f t="shared" si="18"/>
        <v>0.001131825449137988</v>
      </c>
      <c r="K43" s="207">
        <f t="shared" si="19"/>
        <v>2.127915159182394</v>
      </c>
      <c r="O43" s="222" t="s">
        <v>234</v>
      </c>
      <c r="P43" s="113">
        <v>9.718190967591473</v>
      </c>
      <c r="Q43" s="113">
        <v>0</v>
      </c>
      <c r="R43" s="113">
        <v>0</v>
      </c>
      <c r="S43" s="113">
        <v>117.60225800739637</v>
      </c>
      <c r="T43" s="113">
        <v>728.6119040532138</v>
      </c>
      <c r="U43" s="113">
        <v>0</v>
      </c>
      <c r="V43" s="118">
        <v>0</v>
      </c>
      <c r="W43" s="113">
        <v>747.6622806066737</v>
      </c>
      <c r="X43" s="113">
        <v>0.853396388650043</v>
      </c>
      <c r="Y43" s="214">
        <v>1604.4480300235252</v>
      </c>
      <c r="AC43" s="186" t="s">
        <v>234</v>
      </c>
      <c r="AD43" s="185">
        <v>0.01288884743712397</v>
      </c>
      <c r="AE43" s="185">
        <v>0</v>
      </c>
      <c r="AF43" s="185">
        <v>0</v>
      </c>
      <c r="AG43" s="185">
        <v>0.15597116446604292</v>
      </c>
      <c r="AH43" s="185">
        <v>0.9663287852164639</v>
      </c>
      <c r="AI43" s="185">
        <v>0</v>
      </c>
      <c r="AJ43" s="194">
        <v>0</v>
      </c>
      <c r="AK43" s="185">
        <v>0.9915945366136255</v>
      </c>
      <c r="AL43" s="185">
        <v>0.001131825449137988</v>
      </c>
      <c r="AM43" s="207">
        <v>2.127915159182394</v>
      </c>
    </row>
    <row r="44" spans="1:39" s="110" customFormat="1" ht="10.5" customHeight="1">
      <c r="A44" s="186" t="s">
        <v>235</v>
      </c>
      <c r="B44" s="185">
        <f t="shared" si="10"/>
        <v>0.004290008252754183</v>
      </c>
      <c r="C44" s="185">
        <f t="shared" si="11"/>
        <v>0</v>
      </c>
      <c r="D44" s="185">
        <f t="shared" si="12"/>
        <v>0</v>
      </c>
      <c r="E44" s="185">
        <f t="shared" si="13"/>
        <v>0.04700194904529906</v>
      </c>
      <c r="F44" s="185">
        <f t="shared" si="14"/>
        <v>0.4928303892539302</v>
      </c>
      <c r="G44" s="185">
        <f t="shared" si="15"/>
        <v>0</v>
      </c>
      <c r="H44" s="194">
        <f t="shared" si="16"/>
        <v>0</v>
      </c>
      <c r="I44" s="185">
        <f t="shared" si="17"/>
        <v>0.8469398789790288</v>
      </c>
      <c r="J44" s="194">
        <f t="shared" si="18"/>
        <v>0</v>
      </c>
      <c r="K44" s="207">
        <f t="shared" si="19"/>
        <v>1.391062225531012</v>
      </c>
      <c r="O44" s="222" t="s">
        <v>235</v>
      </c>
      <c r="P44" s="113">
        <v>3.234666222576654</v>
      </c>
      <c r="Q44" s="113">
        <v>0</v>
      </c>
      <c r="R44" s="113">
        <v>0</v>
      </c>
      <c r="S44" s="113">
        <v>35.43946958015549</v>
      </c>
      <c r="T44" s="113">
        <v>371.59411349746335</v>
      </c>
      <c r="U44" s="113">
        <v>0</v>
      </c>
      <c r="V44" s="118">
        <v>0</v>
      </c>
      <c r="W44" s="113">
        <v>638.5926687501877</v>
      </c>
      <c r="X44" s="118">
        <v>0</v>
      </c>
      <c r="Y44" s="214">
        <v>1048.8609180503831</v>
      </c>
      <c r="AC44" s="186" t="s">
        <v>235</v>
      </c>
      <c r="AD44" s="185">
        <v>0.004290008252754183</v>
      </c>
      <c r="AE44" s="185">
        <v>0</v>
      </c>
      <c r="AF44" s="185">
        <v>0</v>
      </c>
      <c r="AG44" s="185">
        <v>0.04700194904529906</v>
      </c>
      <c r="AH44" s="185">
        <v>0.4928303892539302</v>
      </c>
      <c r="AI44" s="185">
        <v>0</v>
      </c>
      <c r="AJ44" s="194">
        <v>0</v>
      </c>
      <c r="AK44" s="185">
        <v>0.8469398789790288</v>
      </c>
      <c r="AL44" s="194">
        <v>0</v>
      </c>
      <c r="AM44" s="207">
        <v>1.391062225531012</v>
      </c>
    </row>
    <row r="45" spans="1:39" s="110" customFormat="1" ht="10.5" customHeight="1">
      <c r="A45" s="186" t="s">
        <v>236</v>
      </c>
      <c r="B45" s="185">
        <f t="shared" si="10"/>
        <v>0.050023033381160285</v>
      </c>
      <c r="C45" s="185">
        <f t="shared" si="11"/>
        <v>0</v>
      </c>
      <c r="D45" s="185">
        <f t="shared" si="12"/>
        <v>0</v>
      </c>
      <c r="E45" s="185">
        <f t="shared" si="13"/>
        <v>0.18436549623875126</v>
      </c>
      <c r="F45" s="185">
        <f t="shared" si="14"/>
        <v>1.1285435842320135</v>
      </c>
      <c r="G45" s="185">
        <f t="shared" si="15"/>
        <v>0</v>
      </c>
      <c r="H45" s="194">
        <f t="shared" si="16"/>
        <v>0</v>
      </c>
      <c r="I45" s="185">
        <f t="shared" si="17"/>
        <v>0.6682004158386057</v>
      </c>
      <c r="J45" s="194">
        <f t="shared" si="18"/>
        <v>0</v>
      </c>
      <c r="K45" s="207">
        <f t="shared" si="19"/>
        <v>2.0311325296905305</v>
      </c>
      <c r="O45" s="222" t="s">
        <v>236</v>
      </c>
      <c r="P45" s="113">
        <v>37.717367169394855</v>
      </c>
      <c r="Q45" s="113">
        <v>0</v>
      </c>
      <c r="R45" s="113">
        <v>0</v>
      </c>
      <c r="S45" s="113">
        <v>139.01158416401844</v>
      </c>
      <c r="T45" s="113">
        <v>850.9218625109382</v>
      </c>
      <c r="U45" s="113">
        <v>0</v>
      </c>
      <c r="V45" s="118">
        <v>0</v>
      </c>
      <c r="W45" s="113">
        <v>503.82311354230865</v>
      </c>
      <c r="X45" s="118">
        <v>0</v>
      </c>
      <c r="Y45" s="214">
        <v>1531.47392738666</v>
      </c>
      <c r="AC45" s="186" t="s">
        <v>236</v>
      </c>
      <c r="AD45" s="185">
        <v>0.050023033381160285</v>
      </c>
      <c r="AE45" s="185">
        <v>0</v>
      </c>
      <c r="AF45" s="185">
        <v>0</v>
      </c>
      <c r="AG45" s="185">
        <v>0.18436549623875126</v>
      </c>
      <c r="AH45" s="185">
        <v>1.1285435842320135</v>
      </c>
      <c r="AI45" s="185">
        <v>0</v>
      </c>
      <c r="AJ45" s="194">
        <v>0</v>
      </c>
      <c r="AK45" s="185">
        <v>0.6682004158386057</v>
      </c>
      <c r="AL45" s="194">
        <v>0</v>
      </c>
      <c r="AM45" s="207">
        <v>2.0311325296905305</v>
      </c>
    </row>
    <row r="46" spans="1:39" s="110" customFormat="1" ht="10.5" customHeight="1">
      <c r="A46" s="186" t="s">
        <v>237</v>
      </c>
      <c r="B46" s="185">
        <f t="shared" si="10"/>
        <v>0.022922315350813623</v>
      </c>
      <c r="C46" s="185">
        <f t="shared" si="11"/>
        <v>0</v>
      </c>
      <c r="D46" s="185">
        <f t="shared" si="12"/>
        <v>0</v>
      </c>
      <c r="E46" s="185">
        <f t="shared" si="13"/>
        <v>0.4282390877005523</v>
      </c>
      <c r="F46" s="185">
        <f t="shared" si="14"/>
        <v>3.15818761043498</v>
      </c>
      <c r="G46" s="185">
        <f t="shared" si="15"/>
        <v>0</v>
      </c>
      <c r="H46" s="194">
        <f t="shared" si="16"/>
        <v>0</v>
      </c>
      <c r="I46" s="185">
        <f t="shared" si="17"/>
        <v>1.4361108501990136</v>
      </c>
      <c r="J46" s="185">
        <f t="shared" si="18"/>
        <v>0.0009265049002054961</v>
      </c>
      <c r="K46" s="207">
        <f t="shared" si="19"/>
        <v>5.046386368585566</v>
      </c>
      <c r="O46" s="222" t="s">
        <v>237</v>
      </c>
      <c r="P46" s="113">
        <v>17.28342577451347</v>
      </c>
      <c r="Q46" s="113">
        <v>0</v>
      </c>
      <c r="R46" s="113">
        <v>0</v>
      </c>
      <c r="S46" s="113">
        <v>322.8922721262164</v>
      </c>
      <c r="T46" s="113">
        <v>2381.273458267975</v>
      </c>
      <c r="U46" s="113">
        <v>0</v>
      </c>
      <c r="V46" s="118">
        <v>0</v>
      </c>
      <c r="W46" s="113">
        <v>1082.8275810500563</v>
      </c>
      <c r="X46" s="113">
        <v>0.698584694754944</v>
      </c>
      <c r="Y46" s="214">
        <v>3804.9753219135164</v>
      </c>
      <c r="AC46" s="186" t="s">
        <v>237</v>
      </c>
      <c r="AD46" s="185">
        <v>0.022922315350813623</v>
      </c>
      <c r="AE46" s="185">
        <v>0</v>
      </c>
      <c r="AF46" s="185">
        <v>0</v>
      </c>
      <c r="AG46" s="185">
        <v>0.4282390877005523</v>
      </c>
      <c r="AH46" s="185">
        <v>3.15818761043498</v>
      </c>
      <c r="AI46" s="185">
        <v>0</v>
      </c>
      <c r="AJ46" s="194">
        <v>0</v>
      </c>
      <c r="AK46" s="185">
        <v>1.4361108501990136</v>
      </c>
      <c r="AL46" s="185">
        <v>0.0009265049002054961</v>
      </c>
      <c r="AM46" s="207">
        <v>5.046386368585566</v>
      </c>
    </row>
    <row r="47" spans="1:39" s="110" customFormat="1" ht="10.5" customHeight="1">
      <c r="A47" s="186" t="s">
        <v>238</v>
      </c>
      <c r="B47" s="185">
        <f t="shared" si="10"/>
        <v>0.06575283546712724</v>
      </c>
      <c r="C47" s="185">
        <f t="shared" si="11"/>
        <v>0</v>
      </c>
      <c r="D47" s="185">
        <f t="shared" si="12"/>
        <v>0</v>
      </c>
      <c r="E47" s="185">
        <f t="shared" si="13"/>
        <v>0.14613116520174152</v>
      </c>
      <c r="F47" s="185">
        <f t="shared" si="14"/>
        <v>0.7697326057639102</v>
      </c>
      <c r="G47" s="185">
        <f t="shared" si="15"/>
        <v>0</v>
      </c>
      <c r="H47" s="194">
        <f t="shared" si="16"/>
        <v>0</v>
      </c>
      <c r="I47" s="185">
        <f t="shared" si="17"/>
        <v>0.3965019999437202</v>
      </c>
      <c r="J47" s="185">
        <f t="shared" si="18"/>
        <v>0</v>
      </c>
      <c r="K47" s="207">
        <f t="shared" si="19"/>
        <v>1.3781186063764994</v>
      </c>
      <c r="O47" s="222" t="s">
        <v>238</v>
      </c>
      <c r="P47" s="113">
        <v>49.57763794221393</v>
      </c>
      <c r="Q47" s="113">
        <v>0</v>
      </c>
      <c r="R47" s="113">
        <v>0</v>
      </c>
      <c r="S47" s="113">
        <v>110.18289856211311</v>
      </c>
      <c r="T47" s="113">
        <v>580.3783847459883</v>
      </c>
      <c r="U47" s="113">
        <v>0</v>
      </c>
      <c r="V47" s="118">
        <v>0</v>
      </c>
      <c r="W47" s="113">
        <v>298.96250795756504</v>
      </c>
      <c r="X47" s="113">
        <v>0</v>
      </c>
      <c r="Y47" s="214">
        <v>1039.1014292078805</v>
      </c>
      <c r="AC47" s="186" t="s">
        <v>238</v>
      </c>
      <c r="AD47" s="185">
        <v>0.06575283546712724</v>
      </c>
      <c r="AE47" s="185">
        <v>0</v>
      </c>
      <c r="AF47" s="185">
        <v>0</v>
      </c>
      <c r="AG47" s="185">
        <v>0.14613116520174152</v>
      </c>
      <c r="AH47" s="185">
        <v>0.7697326057639102</v>
      </c>
      <c r="AI47" s="185">
        <v>0</v>
      </c>
      <c r="AJ47" s="194">
        <v>0</v>
      </c>
      <c r="AK47" s="185">
        <v>0.3965019999437202</v>
      </c>
      <c r="AL47" s="185">
        <v>0</v>
      </c>
      <c r="AM47" s="207">
        <v>1.3781186063764994</v>
      </c>
    </row>
    <row r="48" spans="1:39" s="110" customFormat="1" ht="10.5" customHeight="1">
      <c r="A48" s="186" t="s">
        <v>239</v>
      </c>
      <c r="B48" s="185">
        <f t="shared" si="10"/>
        <v>0.1297145833097531</v>
      </c>
      <c r="C48" s="185">
        <f t="shared" si="11"/>
        <v>0</v>
      </c>
      <c r="D48" s="185">
        <f t="shared" si="12"/>
        <v>0</v>
      </c>
      <c r="E48" s="185">
        <f t="shared" si="13"/>
        <v>0.11460778721277255</v>
      </c>
      <c r="F48" s="185">
        <f t="shared" si="14"/>
        <v>1.4905686295800977</v>
      </c>
      <c r="G48" s="185">
        <f t="shared" si="15"/>
        <v>0</v>
      </c>
      <c r="H48" s="194">
        <f t="shared" si="16"/>
        <v>0</v>
      </c>
      <c r="I48" s="185">
        <f t="shared" si="17"/>
        <v>1.4882298943867933</v>
      </c>
      <c r="J48" s="185">
        <f t="shared" si="18"/>
        <v>0.0762098843428342</v>
      </c>
      <c r="K48" s="207">
        <f t="shared" si="19"/>
        <v>3.2993307788322506</v>
      </c>
      <c r="O48" s="222" t="s">
        <v>239</v>
      </c>
      <c r="P48" s="113">
        <v>97.80479581555385</v>
      </c>
      <c r="Q48" s="113">
        <v>0</v>
      </c>
      <c r="R48" s="113">
        <v>0</v>
      </c>
      <c r="S48" s="113">
        <v>86.4142715584305</v>
      </c>
      <c r="T48" s="113">
        <v>1123.8887467033937</v>
      </c>
      <c r="U48" s="113">
        <v>0</v>
      </c>
      <c r="V48" s="118">
        <v>0</v>
      </c>
      <c r="W48" s="113">
        <v>1122.1253403676421</v>
      </c>
      <c r="X48" s="113">
        <v>57.46225279449698</v>
      </c>
      <c r="Y48" s="214">
        <v>2487.695407239517</v>
      </c>
      <c r="AC48" s="186" t="s">
        <v>239</v>
      </c>
      <c r="AD48" s="185">
        <v>0.1297145833097531</v>
      </c>
      <c r="AE48" s="185">
        <v>0</v>
      </c>
      <c r="AF48" s="185">
        <v>0</v>
      </c>
      <c r="AG48" s="185">
        <v>0.11460778721277255</v>
      </c>
      <c r="AH48" s="185">
        <v>1.4905686295800977</v>
      </c>
      <c r="AI48" s="185">
        <v>0</v>
      </c>
      <c r="AJ48" s="194">
        <v>0</v>
      </c>
      <c r="AK48" s="185">
        <v>1.4882298943867933</v>
      </c>
      <c r="AL48" s="185">
        <v>0.0762098843428342</v>
      </c>
      <c r="AM48" s="207">
        <v>3.2993307788322506</v>
      </c>
    </row>
    <row r="49" spans="1:39" s="110" customFormat="1" ht="11.25" customHeight="1">
      <c r="A49" s="186" t="s">
        <v>240</v>
      </c>
      <c r="B49" s="185">
        <f t="shared" si="10"/>
        <v>0.15006523119464477</v>
      </c>
      <c r="C49" s="185">
        <f t="shared" si="11"/>
        <v>0</v>
      </c>
      <c r="D49" s="185">
        <f t="shared" si="12"/>
        <v>0</v>
      </c>
      <c r="E49" s="185">
        <f t="shared" si="13"/>
        <v>3.8744766669159514</v>
      </c>
      <c r="F49" s="185">
        <f t="shared" si="14"/>
        <v>1.1428101189096382</v>
      </c>
      <c r="G49" s="185">
        <f t="shared" si="15"/>
        <v>0</v>
      </c>
      <c r="H49" s="194">
        <f t="shared" si="16"/>
        <v>0</v>
      </c>
      <c r="I49" s="185">
        <f t="shared" si="17"/>
        <v>2.504457808992999</v>
      </c>
      <c r="J49" s="185">
        <f t="shared" si="18"/>
        <v>0.5396309963941238</v>
      </c>
      <c r="K49" s="207">
        <f t="shared" si="19"/>
        <v>8.211440822407358</v>
      </c>
      <c r="O49" s="222" t="s">
        <v>240</v>
      </c>
      <c r="P49" s="113">
        <v>113.14918432076216</v>
      </c>
      <c r="Q49" s="113">
        <v>0</v>
      </c>
      <c r="R49" s="113">
        <v>0</v>
      </c>
      <c r="S49" s="113">
        <v>2921.3554068546273</v>
      </c>
      <c r="T49" s="113">
        <v>861.6788296578673</v>
      </c>
      <c r="U49" s="113">
        <v>0</v>
      </c>
      <c r="V49" s="118">
        <v>0</v>
      </c>
      <c r="W49" s="113">
        <v>1888.3611879807213</v>
      </c>
      <c r="X49" s="113">
        <v>406.88177128116934</v>
      </c>
      <c r="Y49" s="214">
        <v>6191.426380095148</v>
      </c>
      <c r="AC49" s="186" t="s">
        <v>240</v>
      </c>
      <c r="AD49" s="185">
        <v>0.15006523119464477</v>
      </c>
      <c r="AE49" s="185">
        <v>0</v>
      </c>
      <c r="AF49" s="185">
        <v>0</v>
      </c>
      <c r="AG49" s="185">
        <v>3.8744766669159514</v>
      </c>
      <c r="AH49" s="185">
        <v>1.1428101189096382</v>
      </c>
      <c r="AI49" s="185">
        <v>0</v>
      </c>
      <c r="AJ49" s="194">
        <v>0</v>
      </c>
      <c r="AK49" s="185">
        <v>2.504457808992999</v>
      </c>
      <c r="AL49" s="185">
        <v>0.5396309963941238</v>
      </c>
      <c r="AM49" s="207">
        <v>8.211440822407358</v>
      </c>
    </row>
    <row r="50" spans="1:39" s="110" customFormat="1" ht="11.25" customHeight="1">
      <c r="A50" s="186" t="s">
        <v>241</v>
      </c>
      <c r="B50" s="185">
        <f t="shared" si="10"/>
        <v>0</v>
      </c>
      <c r="C50" s="185">
        <f t="shared" si="11"/>
        <v>0</v>
      </c>
      <c r="D50" s="185">
        <f t="shared" si="12"/>
        <v>0</v>
      </c>
      <c r="E50" s="185">
        <f t="shared" si="13"/>
        <v>0.25182442285628187</v>
      </c>
      <c r="F50" s="185">
        <f t="shared" si="14"/>
        <v>0.29675562074266465</v>
      </c>
      <c r="G50" s="185">
        <f t="shared" si="15"/>
        <v>0</v>
      </c>
      <c r="H50" s="194">
        <f t="shared" si="16"/>
        <v>0</v>
      </c>
      <c r="I50" s="185">
        <f t="shared" si="17"/>
        <v>0.21997832017738322</v>
      </c>
      <c r="J50" s="194">
        <f t="shared" si="18"/>
        <v>0</v>
      </c>
      <c r="K50" s="207">
        <f t="shared" si="19"/>
        <v>0.7685583637763297</v>
      </c>
      <c r="O50" s="222" t="s">
        <v>241</v>
      </c>
      <c r="P50" s="113">
        <v>0</v>
      </c>
      <c r="Q50" s="113">
        <v>0</v>
      </c>
      <c r="R50" s="113">
        <v>0</v>
      </c>
      <c r="S50" s="113">
        <v>189.87561483363652</v>
      </c>
      <c r="T50" s="113">
        <v>223.75373803996916</v>
      </c>
      <c r="U50" s="113">
        <v>0</v>
      </c>
      <c r="V50" s="118">
        <v>0</v>
      </c>
      <c r="W50" s="113">
        <v>165.86365341374696</v>
      </c>
      <c r="X50" s="118">
        <v>0</v>
      </c>
      <c r="Y50" s="214">
        <v>579.4930062873526</v>
      </c>
      <c r="AC50" s="186" t="s">
        <v>241</v>
      </c>
      <c r="AD50" s="185">
        <v>0</v>
      </c>
      <c r="AE50" s="185">
        <v>0</v>
      </c>
      <c r="AF50" s="185">
        <v>0</v>
      </c>
      <c r="AG50" s="185">
        <v>0.25182442285628187</v>
      </c>
      <c r="AH50" s="185">
        <v>0.29675562074266465</v>
      </c>
      <c r="AI50" s="185">
        <v>0</v>
      </c>
      <c r="AJ50" s="194">
        <v>0</v>
      </c>
      <c r="AK50" s="185">
        <v>0.21997832017738322</v>
      </c>
      <c r="AL50" s="194">
        <v>0</v>
      </c>
      <c r="AM50" s="207">
        <v>0.7685583637763297</v>
      </c>
    </row>
    <row r="51" spans="1:39" s="110" customFormat="1" ht="10.5" customHeight="1">
      <c r="A51" s="184" t="s">
        <v>259</v>
      </c>
      <c r="B51" s="194">
        <f t="shared" si="10"/>
        <v>0</v>
      </c>
      <c r="C51" s="194">
        <f t="shared" si="11"/>
        <v>0</v>
      </c>
      <c r="D51" s="185">
        <f t="shared" si="12"/>
        <v>0</v>
      </c>
      <c r="E51" s="194">
        <f t="shared" si="13"/>
        <v>77.56628247969769</v>
      </c>
      <c r="F51" s="194">
        <f t="shared" si="14"/>
        <v>0</v>
      </c>
      <c r="G51" s="194">
        <f t="shared" si="15"/>
        <v>0</v>
      </c>
      <c r="H51" s="194">
        <f t="shared" si="16"/>
        <v>0</v>
      </c>
      <c r="I51" s="194">
        <f t="shared" si="17"/>
        <v>0.9817974059516582</v>
      </c>
      <c r="J51" s="194">
        <f t="shared" si="18"/>
        <v>0</v>
      </c>
      <c r="K51" s="209">
        <f t="shared" si="19"/>
        <v>78.54807988564936</v>
      </c>
      <c r="O51" s="221" t="s">
        <v>259</v>
      </c>
      <c r="P51" s="118">
        <v>0</v>
      </c>
      <c r="Q51" s="118">
        <v>0</v>
      </c>
      <c r="R51" s="113">
        <v>0</v>
      </c>
      <c r="S51" s="118">
        <v>58484.97698969206</v>
      </c>
      <c r="T51" s="118">
        <v>0</v>
      </c>
      <c r="U51" s="118">
        <v>0</v>
      </c>
      <c r="V51" s="118">
        <v>0</v>
      </c>
      <c r="W51" s="118">
        <v>740.2752440875503</v>
      </c>
      <c r="X51" s="118">
        <v>0</v>
      </c>
      <c r="Y51" s="217">
        <v>59225.25223377961</v>
      </c>
      <c r="AC51" s="184" t="s">
        <v>345</v>
      </c>
      <c r="AD51" s="194">
        <v>0</v>
      </c>
      <c r="AE51" s="194">
        <v>0</v>
      </c>
      <c r="AF51" s="185">
        <v>0</v>
      </c>
      <c r="AG51" s="194">
        <v>77.56628247969769</v>
      </c>
      <c r="AH51" s="194">
        <v>0</v>
      </c>
      <c r="AI51" s="194">
        <v>0</v>
      </c>
      <c r="AJ51" s="194">
        <v>0</v>
      </c>
      <c r="AK51" s="194">
        <v>0.9817974059516582</v>
      </c>
      <c r="AL51" s="194">
        <v>0</v>
      </c>
      <c r="AM51" s="209">
        <v>78.54807988564936</v>
      </c>
    </row>
    <row r="52" spans="1:39" s="110" customFormat="1" ht="10.5" customHeight="1">
      <c r="A52" s="186" t="s">
        <v>242</v>
      </c>
      <c r="B52" s="185">
        <f t="shared" si="10"/>
        <v>0</v>
      </c>
      <c r="C52" s="194">
        <f t="shared" si="11"/>
        <v>0</v>
      </c>
      <c r="D52" s="185">
        <f t="shared" si="12"/>
        <v>0</v>
      </c>
      <c r="E52" s="185">
        <f t="shared" si="13"/>
        <v>18.377047051126432</v>
      </c>
      <c r="F52" s="194">
        <f t="shared" si="14"/>
        <v>0</v>
      </c>
      <c r="G52" s="194">
        <f t="shared" si="15"/>
        <v>0</v>
      </c>
      <c r="H52" s="194">
        <f t="shared" si="16"/>
        <v>0</v>
      </c>
      <c r="I52" s="194">
        <f t="shared" si="17"/>
        <v>0</v>
      </c>
      <c r="J52" s="194">
        <f t="shared" si="18"/>
        <v>0</v>
      </c>
      <c r="K52" s="207">
        <f t="shared" si="19"/>
        <v>18.377047051126432</v>
      </c>
      <c r="O52" s="222" t="s">
        <v>242</v>
      </c>
      <c r="P52" s="113">
        <v>0</v>
      </c>
      <c r="Q52" s="118">
        <v>0</v>
      </c>
      <c r="R52" s="113">
        <v>0</v>
      </c>
      <c r="S52" s="113">
        <v>13856.29347654933</v>
      </c>
      <c r="T52" s="118">
        <v>0</v>
      </c>
      <c r="U52" s="118">
        <v>0</v>
      </c>
      <c r="V52" s="118">
        <v>0</v>
      </c>
      <c r="W52" s="118">
        <v>0</v>
      </c>
      <c r="X52" s="118">
        <v>0</v>
      </c>
      <c r="Y52" s="214">
        <v>13856.29347654933</v>
      </c>
      <c r="AC52" s="186" t="s">
        <v>242</v>
      </c>
      <c r="AD52" s="185">
        <v>0</v>
      </c>
      <c r="AE52" s="194">
        <v>0</v>
      </c>
      <c r="AF52" s="185">
        <v>0</v>
      </c>
      <c r="AG52" s="185">
        <v>18.377047051126432</v>
      </c>
      <c r="AH52" s="194">
        <v>0</v>
      </c>
      <c r="AI52" s="194">
        <v>0</v>
      </c>
      <c r="AJ52" s="194">
        <v>0</v>
      </c>
      <c r="AK52" s="194">
        <v>0</v>
      </c>
      <c r="AL52" s="194">
        <v>0</v>
      </c>
      <c r="AM52" s="207">
        <v>18.377047051126432</v>
      </c>
    </row>
    <row r="53" spans="1:39" s="110" customFormat="1" ht="10.5" customHeight="1">
      <c r="A53" s="186" t="s">
        <v>243</v>
      </c>
      <c r="B53" s="194">
        <f t="shared" si="10"/>
        <v>0</v>
      </c>
      <c r="C53" s="194">
        <f t="shared" si="11"/>
        <v>0</v>
      </c>
      <c r="D53" s="185">
        <f t="shared" si="12"/>
        <v>0</v>
      </c>
      <c r="E53" s="185">
        <f t="shared" si="13"/>
        <v>1.1519337984695723</v>
      </c>
      <c r="F53" s="194">
        <f t="shared" si="14"/>
        <v>0</v>
      </c>
      <c r="G53" s="194">
        <f t="shared" si="15"/>
        <v>0</v>
      </c>
      <c r="H53" s="194">
        <f t="shared" si="16"/>
        <v>0</v>
      </c>
      <c r="I53" s="185">
        <f t="shared" si="17"/>
        <v>0</v>
      </c>
      <c r="J53" s="194">
        <f t="shared" si="18"/>
        <v>0</v>
      </c>
      <c r="K53" s="207">
        <f t="shared" si="19"/>
        <v>1.1519337984695723</v>
      </c>
      <c r="O53" s="222" t="s">
        <v>243</v>
      </c>
      <c r="P53" s="118">
        <v>0</v>
      </c>
      <c r="Q53" s="118">
        <v>0</v>
      </c>
      <c r="R53" s="113">
        <v>0</v>
      </c>
      <c r="S53" s="113">
        <v>868.5580840460576</v>
      </c>
      <c r="T53" s="118">
        <v>0</v>
      </c>
      <c r="U53" s="118">
        <v>0</v>
      </c>
      <c r="V53" s="118">
        <v>0</v>
      </c>
      <c r="W53" s="113">
        <v>0</v>
      </c>
      <c r="X53" s="118">
        <v>0</v>
      </c>
      <c r="Y53" s="214">
        <v>868.5580840460576</v>
      </c>
      <c r="AC53" s="186" t="s">
        <v>243</v>
      </c>
      <c r="AD53" s="194">
        <v>0</v>
      </c>
      <c r="AE53" s="194">
        <v>0</v>
      </c>
      <c r="AF53" s="185">
        <v>0</v>
      </c>
      <c r="AG53" s="185">
        <v>1.1519337984695723</v>
      </c>
      <c r="AH53" s="194">
        <v>0</v>
      </c>
      <c r="AI53" s="194">
        <v>0</v>
      </c>
      <c r="AJ53" s="194">
        <v>0</v>
      </c>
      <c r="AK53" s="185">
        <v>0</v>
      </c>
      <c r="AL53" s="194">
        <v>0</v>
      </c>
      <c r="AM53" s="207">
        <v>1.1519337984695723</v>
      </c>
    </row>
    <row r="54" spans="1:39" s="110" customFormat="1" ht="10.5" customHeight="1">
      <c r="A54" s="186" t="s">
        <v>244</v>
      </c>
      <c r="B54" s="185">
        <f t="shared" si="10"/>
        <v>0</v>
      </c>
      <c r="C54" s="194">
        <f t="shared" si="11"/>
        <v>0</v>
      </c>
      <c r="D54" s="185">
        <f t="shared" si="12"/>
        <v>0</v>
      </c>
      <c r="E54" s="185">
        <f t="shared" si="13"/>
        <v>56.21991053186568</v>
      </c>
      <c r="F54" s="194">
        <f t="shared" si="14"/>
        <v>0</v>
      </c>
      <c r="G54" s="194">
        <f t="shared" si="15"/>
        <v>0</v>
      </c>
      <c r="H54" s="194">
        <f t="shared" si="16"/>
        <v>0</v>
      </c>
      <c r="I54" s="194">
        <f t="shared" si="17"/>
        <v>0</v>
      </c>
      <c r="J54" s="194">
        <f t="shared" si="18"/>
        <v>0</v>
      </c>
      <c r="K54" s="207">
        <f t="shared" si="19"/>
        <v>56.21991053186568</v>
      </c>
      <c r="O54" s="222" t="s">
        <v>244</v>
      </c>
      <c r="P54" s="113">
        <v>0</v>
      </c>
      <c r="Q54" s="118">
        <v>0</v>
      </c>
      <c r="R54" s="113">
        <v>0</v>
      </c>
      <c r="S54" s="113">
        <v>42389.812541026724</v>
      </c>
      <c r="T54" s="118">
        <v>0</v>
      </c>
      <c r="U54" s="118">
        <v>0</v>
      </c>
      <c r="V54" s="118">
        <v>0</v>
      </c>
      <c r="W54" s="118">
        <v>0</v>
      </c>
      <c r="X54" s="118">
        <v>0</v>
      </c>
      <c r="Y54" s="214">
        <v>42389.812541026724</v>
      </c>
      <c r="AC54" s="186" t="s">
        <v>244</v>
      </c>
      <c r="AD54" s="185">
        <v>0</v>
      </c>
      <c r="AE54" s="194">
        <v>0</v>
      </c>
      <c r="AF54" s="185">
        <v>0</v>
      </c>
      <c r="AG54" s="185">
        <v>56.21991053186568</v>
      </c>
      <c r="AH54" s="194">
        <v>0</v>
      </c>
      <c r="AI54" s="194">
        <v>0</v>
      </c>
      <c r="AJ54" s="194">
        <v>0</v>
      </c>
      <c r="AK54" s="194">
        <v>0</v>
      </c>
      <c r="AL54" s="194">
        <v>0</v>
      </c>
      <c r="AM54" s="207">
        <v>56.21991053186568</v>
      </c>
    </row>
    <row r="55" spans="1:39" s="110" customFormat="1" ht="10.5" customHeight="1">
      <c r="A55" s="186" t="s">
        <v>245</v>
      </c>
      <c r="B55" s="194">
        <f t="shared" si="10"/>
        <v>0</v>
      </c>
      <c r="C55" s="194">
        <f t="shared" si="11"/>
        <v>0</v>
      </c>
      <c r="D55" s="185">
        <f t="shared" si="12"/>
        <v>0</v>
      </c>
      <c r="E55" s="185">
        <f t="shared" si="13"/>
        <v>1.8173910982360066</v>
      </c>
      <c r="F55" s="194">
        <f t="shared" si="14"/>
        <v>0</v>
      </c>
      <c r="G55" s="194">
        <f t="shared" si="15"/>
        <v>0</v>
      </c>
      <c r="H55" s="194">
        <f t="shared" si="16"/>
        <v>0</v>
      </c>
      <c r="I55" s="194">
        <f t="shared" si="17"/>
        <v>0</v>
      </c>
      <c r="J55" s="194">
        <f t="shared" si="18"/>
        <v>0</v>
      </c>
      <c r="K55" s="207">
        <f t="shared" si="19"/>
        <v>1.8173910982360066</v>
      </c>
      <c r="O55" s="222" t="s">
        <v>245</v>
      </c>
      <c r="P55" s="118">
        <v>0</v>
      </c>
      <c r="Q55" s="118">
        <v>0</v>
      </c>
      <c r="R55" s="113">
        <v>0</v>
      </c>
      <c r="S55" s="113">
        <v>1370.312888069949</v>
      </c>
      <c r="T55" s="118">
        <v>0</v>
      </c>
      <c r="U55" s="118">
        <v>0</v>
      </c>
      <c r="V55" s="118">
        <v>0</v>
      </c>
      <c r="W55" s="118">
        <v>0</v>
      </c>
      <c r="X55" s="118">
        <v>0</v>
      </c>
      <c r="Y55" s="214">
        <v>1370.312888069949</v>
      </c>
      <c r="AC55" s="186" t="s">
        <v>245</v>
      </c>
      <c r="AD55" s="194">
        <v>0</v>
      </c>
      <c r="AE55" s="194">
        <v>0</v>
      </c>
      <c r="AF55" s="185">
        <v>0</v>
      </c>
      <c r="AG55" s="185">
        <v>1.8173910982360066</v>
      </c>
      <c r="AH55" s="194">
        <v>0</v>
      </c>
      <c r="AI55" s="194">
        <v>0</v>
      </c>
      <c r="AJ55" s="194">
        <v>0</v>
      </c>
      <c r="AK55" s="194">
        <v>0</v>
      </c>
      <c r="AL55" s="194">
        <v>0</v>
      </c>
      <c r="AM55" s="207">
        <v>1.8173910982360066</v>
      </c>
    </row>
    <row r="56" spans="1:39" s="110" customFormat="1" ht="10.5" customHeight="1">
      <c r="A56" s="186" t="s">
        <v>246</v>
      </c>
      <c r="B56" s="185">
        <f t="shared" si="10"/>
        <v>0</v>
      </c>
      <c r="C56" s="194">
        <f t="shared" si="11"/>
        <v>0</v>
      </c>
      <c r="D56" s="185">
        <f t="shared" si="12"/>
        <v>0</v>
      </c>
      <c r="E56" s="185">
        <f t="shared" si="13"/>
        <v>0</v>
      </c>
      <c r="F56" s="194">
        <f t="shared" si="14"/>
        <v>0</v>
      </c>
      <c r="G56" s="194">
        <f t="shared" si="15"/>
        <v>0</v>
      </c>
      <c r="H56" s="194">
        <f t="shared" si="16"/>
        <v>0</v>
      </c>
      <c r="I56" s="194">
        <f t="shared" si="17"/>
        <v>0</v>
      </c>
      <c r="J56" s="194">
        <f t="shared" si="18"/>
        <v>0</v>
      </c>
      <c r="K56" s="207">
        <f t="shared" si="19"/>
        <v>0</v>
      </c>
      <c r="O56" s="222" t="s">
        <v>246</v>
      </c>
      <c r="P56" s="113">
        <v>0</v>
      </c>
      <c r="Q56" s="118">
        <v>0</v>
      </c>
      <c r="R56" s="113">
        <v>0</v>
      </c>
      <c r="S56" s="113">
        <v>0</v>
      </c>
      <c r="T56" s="118">
        <v>0</v>
      </c>
      <c r="U56" s="118">
        <v>0</v>
      </c>
      <c r="V56" s="118">
        <v>0</v>
      </c>
      <c r="W56" s="118">
        <v>0</v>
      </c>
      <c r="X56" s="118">
        <v>0</v>
      </c>
      <c r="Y56" s="214">
        <v>0</v>
      </c>
      <c r="AC56" s="186" t="s">
        <v>246</v>
      </c>
      <c r="AD56" s="185">
        <v>0</v>
      </c>
      <c r="AE56" s="194">
        <v>0</v>
      </c>
      <c r="AF56" s="185">
        <v>0</v>
      </c>
      <c r="AG56" s="185">
        <v>0</v>
      </c>
      <c r="AH56" s="194">
        <v>0</v>
      </c>
      <c r="AI56" s="194">
        <v>0</v>
      </c>
      <c r="AJ56" s="194">
        <v>0</v>
      </c>
      <c r="AK56" s="194">
        <v>0</v>
      </c>
      <c r="AL56" s="194">
        <v>0</v>
      </c>
      <c r="AM56" s="207">
        <v>0</v>
      </c>
    </row>
    <row r="57" spans="1:39" s="110" customFormat="1" ht="10.5" customHeight="1">
      <c r="A57" s="184" t="s">
        <v>222</v>
      </c>
      <c r="B57" s="194">
        <f t="shared" si="10"/>
        <v>0.6583010014039355</v>
      </c>
      <c r="C57" s="194">
        <f t="shared" si="11"/>
        <v>0.29678401969174967</v>
      </c>
      <c r="D57" s="185">
        <f t="shared" si="12"/>
        <v>0</v>
      </c>
      <c r="E57" s="194">
        <f t="shared" si="13"/>
        <v>6.428578699382289</v>
      </c>
      <c r="F57" s="194">
        <f t="shared" si="14"/>
        <v>55.711099641140564</v>
      </c>
      <c r="G57" s="194">
        <f t="shared" si="15"/>
        <v>0.5963527851458885</v>
      </c>
      <c r="H57" s="194">
        <f t="shared" si="16"/>
        <v>0</v>
      </c>
      <c r="I57" s="194">
        <f t="shared" si="17"/>
        <v>24.837206710844434</v>
      </c>
      <c r="J57" s="194">
        <f t="shared" si="18"/>
        <v>0.6058939835922373</v>
      </c>
      <c r="K57" s="209">
        <f t="shared" si="19"/>
        <v>89.13421684120111</v>
      </c>
      <c r="O57" s="221" t="s">
        <v>222</v>
      </c>
      <c r="P57" s="118">
        <v>496.3589550585674</v>
      </c>
      <c r="Q57" s="118">
        <v>223.77515084757925</v>
      </c>
      <c r="R57" s="113">
        <v>0</v>
      </c>
      <c r="S57" s="118">
        <v>4847.148339334246</v>
      </c>
      <c r="T57" s="118">
        <v>42006.169129419985</v>
      </c>
      <c r="U57" s="118">
        <v>449.65</v>
      </c>
      <c r="V57" s="118">
        <v>0</v>
      </c>
      <c r="W57" s="118">
        <v>18727.253859976703</v>
      </c>
      <c r="X57" s="118">
        <v>456.84406362854696</v>
      </c>
      <c r="Y57" s="217">
        <v>67207.19949826563</v>
      </c>
      <c r="AC57" s="184" t="s">
        <v>222</v>
      </c>
      <c r="AD57" s="194">
        <v>0.6583010014039355</v>
      </c>
      <c r="AE57" s="194">
        <v>0.29678401969174967</v>
      </c>
      <c r="AF57" s="185">
        <v>0</v>
      </c>
      <c r="AG57" s="194">
        <v>6.428578699382289</v>
      </c>
      <c r="AH57" s="194">
        <v>55.711099641140564</v>
      </c>
      <c r="AI57" s="194">
        <v>0.5963527851458885</v>
      </c>
      <c r="AJ57" s="194">
        <v>0</v>
      </c>
      <c r="AK57" s="194">
        <v>24.837206710844434</v>
      </c>
      <c r="AL57" s="194">
        <v>0.6058939835922373</v>
      </c>
      <c r="AM57" s="209">
        <v>89.13421684120111</v>
      </c>
    </row>
    <row r="58" spans="1:39" s="110" customFormat="1" ht="10.5" customHeight="1">
      <c r="A58" s="186" t="s">
        <v>8</v>
      </c>
      <c r="B58" s="185">
        <f t="shared" si="10"/>
        <v>0.6283586481343402</v>
      </c>
      <c r="C58" s="185">
        <f t="shared" si="11"/>
        <v>0.29678401969174967</v>
      </c>
      <c r="D58" s="185">
        <f t="shared" si="12"/>
        <v>0</v>
      </c>
      <c r="E58" s="185">
        <f t="shared" si="13"/>
        <v>4.10225375946827</v>
      </c>
      <c r="F58" s="185">
        <f t="shared" si="14"/>
        <v>43.54864873840235</v>
      </c>
      <c r="G58" s="185">
        <f t="shared" si="15"/>
        <v>0.34011936339522547</v>
      </c>
      <c r="H58" s="194">
        <f t="shared" si="16"/>
        <v>0</v>
      </c>
      <c r="I58" s="185">
        <f t="shared" si="17"/>
        <v>13.320888537145542</v>
      </c>
      <c r="J58" s="185">
        <f t="shared" si="18"/>
        <v>0.06887884849162164</v>
      </c>
      <c r="K58" s="207">
        <f t="shared" si="19"/>
        <v>62.30593191472909</v>
      </c>
      <c r="O58" s="222" t="s">
        <v>8</v>
      </c>
      <c r="P58" s="113">
        <v>473.7824206932925</v>
      </c>
      <c r="Q58" s="113">
        <v>223.77515084757925</v>
      </c>
      <c r="R58" s="113">
        <v>0</v>
      </c>
      <c r="S58" s="113">
        <v>3093.0993346390756</v>
      </c>
      <c r="T58" s="113">
        <v>32835.68114875537</v>
      </c>
      <c r="U58" s="113">
        <v>256.45</v>
      </c>
      <c r="V58" s="118">
        <v>0</v>
      </c>
      <c r="W58" s="113">
        <v>10043.949957007739</v>
      </c>
      <c r="X58" s="113">
        <v>51.93465176268271</v>
      </c>
      <c r="Y58" s="214">
        <v>46978.672663705736</v>
      </c>
      <c r="AC58" s="186" t="s">
        <v>8</v>
      </c>
      <c r="AD58" s="185">
        <v>0.6283586481343402</v>
      </c>
      <c r="AE58" s="185">
        <v>0.29678401969174967</v>
      </c>
      <c r="AF58" s="185">
        <v>0</v>
      </c>
      <c r="AG58" s="185">
        <v>4.10225375946827</v>
      </c>
      <c r="AH58" s="185">
        <v>43.54864873840235</v>
      </c>
      <c r="AI58" s="185">
        <v>0.34011936339522547</v>
      </c>
      <c r="AJ58" s="194">
        <v>0</v>
      </c>
      <c r="AK58" s="185">
        <v>13.320888537145542</v>
      </c>
      <c r="AL58" s="185">
        <v>0.06887884849162164</v>
      </c>
      <c r="AM58" s="207">
        <v>62.30593191472909</v>
      </c>
    </row>
    <row r="59" spans="1:39" s="110" customFormat="1" ht="10.5" customHeight="1">
      <c r="A59" s="186" t="s">
        <v>9</v>
      </c>
      <c r="B59" s="185">
        <f t="shared" si="10"/>
        <v>0.0144792602360497</v>
      </c>
      <c r="C59" s="185">
        <f t="shared" si="11"/>
        <v>0</v>
      </c>
      <c r="D59" s="185">
        <f t="shared" si="12"/>
        <v>0</v>
      </c>
      <c r="E59" s="185">
        <f t="shared" si="13"/>
        <v>0.7275024518093182</v>
      </c>
      <c r="F59" s="185">
        <f t="shared" si="14"/>
        <v>5.631780298666322</v>
      </c>
      <c r="G59" s="185">
        <f t="shared" si="15"/>
        <v>0.13216180371352787</v>
      </c>
      <c r="H59" s="194">
        <f t="shared" si="16"/>
        <v>0</v>
      </c>
      <c r="I59" s="185">
        <f t="shared" si="17"/>
        <v>2.4565226663331896</v>
      </c>
      <c r="J59" s="185">
        <f t="shared" si="18"/>
        <v>0.5366730216147301</v>
      </c>
      <c r="K59" s="207">
        <f t="shared" si="19"/>
        <v>9.499119502373137</v>
      </c>
      <c r="O59" s="222" t="s">
        <v>9</v>
      </c>
      <c r="P59" s="113">
        <v>10.917362217981474</v>
      </c>
      <c r="Q59" s="113">
        <v>0</v>
      </c>
      <c r="R59" s="113">
        <v>0</v>
      </c>
      <c r="S59" s="113">
        <v>548.5368486642259</v>
      </c>
      <c r="T59" s="113">
        <v>4246.362345194407</v>
      </c>
      <c r="U59" s="113">
        <v>99.65</v>
      </c>
      <c r="V59" s="118">
        <v>0</v>
      </c>
      <c r="W59" s="113">
        <v>1852.2180904152249</v>
      </c>
      <c r="X59" s="113">
        <v>404.6514582975065</v>
      </c>
      <c r="Y59" s="214">
        <v>7162.336104789345</v>
      </c>
      <c r="AC59" s="186" t="s">
        <v>9</v>
      </c>
      <c r="AD59" s="185">
        <v>0.0144792602360497</v>
      </c>
      <c r="AE59" s="185">
        <v>0</v>
      </c>
      <c r="AF59" s="185">
        <v>0</v>
      </c>
      <c r="AG59" s="185">
        <v>0.7275024518093182</v>
      </c>
      <c r="AH59" s="185">
        <v>5.631780298666322</v>
      </c>
      <c r="AI59" s="185">
        <v>0.13216180371352787</v>
      </c>
      <c r="AJ59" s="194">
        <v>0</v>
      </c>
      <c r="AK59" s="185">
        <v>2.4565226663331896</v>
      </c>
      <c r="AL59" s="185">
        <v>0.5366730216147301</v>
      </c>
      <c r="AM59" s="207">
        <v>9.499119502373137</v>
      </c>
    </row>
    <row r="60" spans="1:39" s="110" customFormat="1" ht="10.5" customHeight="1">
      <c r="A60" s="186" t="s">
        <v>10</v>
      </c>
      <c r="B60" s="189">
        <f t="shared" si="10"/>
        <v>0.005598437093338947</v>
      </c>
      <c r="C60" s="189">
        <f t="shared" si="11"/>
        <v>0</v>
      </c>
      <c r="D60" s="185">
        <f t="shared" si="12"/>
        <v>0</v>
      </c>
      <c r="E60" s="189">
        <f t="shared" si="13"/>
        <v>0.5053984382131258</v>
      </c>
      <c r="F60" s="189">
        <f t="shared" si="14"/>
        <v>3.9867335589761317</v>
      </c>
      <c r="G60" s="189">
        <f t="shared" si="15"/>
        <v>0</v>
      </c>
      <c r="H60" s="194">
        <f t="shared" si="16"/>
        <v>0</v>
      </c>
      <c r="I60" s="189">
        <f t="shared" si="17"/>
        <v>8.586339750622074</v>
      </c>
      <c r="J60" s="189">
        <f t="shared" si="18"/>
        <v>0</v>
      </c>
      <c r="K60" s="207">
        <f t="shared" si="19"/>
        <v>13.084412298390555</v>
      </c>
      <c r="O60" s="222" t="s">
        <v>10</v>
      </c>
      <c r="P60" s="113">
        <v>4.221221568377566</v>
      </c>
      <c r="Q60" s="113">
        <v>0</v>
      </c>
      <c r="R60" s="113">
        <v>0</v>
      </c>
      <c r="S60" s="113">
        <v>381.0704224126968</v>
      </c>
      <c r="T60" s="113">
        <v>3005.9971034680034</v>
      </c>
      <c r="U60" s="113">
        <v>0</v>
      </c>
      <c r="V60" s="118">
        <v>0</v>
      </c>
      <c r="W60" s="113">
        <v>6474.100171969044</v>
      </c>
      <c r="X60" s="113">
        <v>0</v>
      </c>
      <c r="Y60" s="214">
        <v>9865.64687298648</v>
      </c>
      <c r="AC60" s="186" t="s">
        <v>10</v>
      </c>
      <c r="AD60" s="189">
        <v>0.005598437093338947</v>
      </c>
      <c r="AE60" s="189">
        <v>0</v>
      </c>
      <c r="AF60" s="185">
        <v>0</v>
      </c>
      <c r="AG60" s="189">
        <v>0.5053984382131258</v>
      </c>
      <c r="AH60" s="189">
        <v>3.9867335589761317</v>
      </c>
      <c r="AI60" s="189">
        <v>0</v>
      </c>
      <c r="AJ60" s="194">
        <v>0</v>
      </c>
      <c r="AK60" s="189">
        <v>8.586339750622074</v>
      </c>
      <c r="AL60" s="189">
        <v>0</v>
      </c>
      <c r="AM60" s="207">
        <v>13.084412298390555</v>
      </c>
    </row>
    <row r="61" spans="1:39" s="110" customFormat="1" ht="11.25" customHeight="1">
      <c r="A61" s="186" t="s">
        <v>11</v>
      </c>
      <c r="B61" s="189">
        <f t="shared" si="10"/>
        <v>0.007982648003995885</v>
      </c>
      <c r="C61" s="189">
        <f t="shared" si="11"/>
        <v>0</v>
      </c>
      <c r="D61" s="185">
        <f t="shared" si="12"/>
        <v>0</v>
      </c>
      <c r="E61" s="189">
        <f t="shared" si="13"/>
        <v>0.48209880479393413</v>
      </c>
      <c r="F61" s="189">
        <f t="shared" si="14"/>
        <v>0.25102195126805477</v>
      </c>
      <c r="G61" s="189">
        <f t="shared" si="15"/>
        <v>0.09795755968169761</v>
      </c>
      <c r="H61" s="194">
        <f t="shared" si="16"/>
        <v>0</v>
      </c>
      <c r="I61" s="189">
        <f t="shared" si="17"/>
        <v>0.4734557567436269</v>
      </c>
      <c r="J61" s="189">
        <f t="shared" si="18"/>
        <v>0</v>
      </c>
      <c r="K61" s="207">
        <f t="shared" si="19"/>
        <v>1.3125167204913093</v>
      </c>
      <c r="O61" s="222" t="s">
        <v>11</v>
      </c>
      <c r="P61" s="113">
        <v>6.0189165950128976</v>
      </c>
      <c r="Q61" s="113">
        <v>0</v>
      </c>
      <c r="R61" s="113">
        <v>0</v>
      </c>
      <c r="S61" s="113">
        <v>363.50249881462634</v>
      </c>
      <c r="T61" s="113">
        <v>189.2705512561133</v>
      </c>
      <c r="U61" s="113">
        <v>73.86</v>
      </c>
      <c r="V61" s="118">
        <v>0</v>
      </c>
      <c r="W61" s="113">
        <v>356.9856405846947</v>
      </c>
      <c r="X61" s="113">
        <v>0</v>
      </c>
      <c r="Y61" s="214">
        <v>989.6376072504472</v>
      </c>
      <c r="AC61" s="186" t="s">
        <v>11</v>
      </c>
      <c r="AD61" s="189">
        <v>0.007982648003995885</v>
      </c>
      <c r="AE61" s="189">
        <v>0</v>
      </c>
      <c r="AF61" s="185">
        <v>0</v>
      </c>
      <c r="AG61" s="189">
        <v>0.48209880479393413</v>
      </c>
      <c r="AH61" s="189">
        <v>0.25102195126805477</v>
      </c>
      <c r="AI61" s="189">
        <v>0.09795755968169761</v>
      </c>
      <c r="AJ61" s="194">
        <v>0</v>
      </c>
      <c r="AK61" s="189">
        <v>0.4734557567436269</v>
      </c>
      <c r="AL61" s="189">
        <v>0</v>
      </c>
      <c r="AM61" s="207">
        <v>1.3125167204913093</v>
      </c>
    </row>
    <row r="62" spans="1:39" s="110" customFormat="1" ht="10.5" customHeight="1">
      <c r="A62" s="195" t="s">
        <v>13</v>
      </c>
      <c r="B62" s="185">
        <f t="shared" si="10"/>
        <v>0.0018820079362107762</v>
      </c>
      <c r="C62" s="185">
        <f t="shared" si="11"/>
        <v>0</v>
      </c>
      <c r="D62" s="185">
        <f t="shared" si="12"/>
        <v>0</v>
      </c>
      <c r="E62" s="185">
        <f t="shared" si="13"/>
        <v>0.6113252450976411</v>
      </c>
      <c r="F62" s="185">
        <f t="shared" si="14"/>
        <v>2.2929150938277023</v>
      </c>
      <c r="G62" s="185">
        <f t="shared" si="15"/>
        <v>0.026114058355437668</v>
      </c>
      <c r="H62" s="194">
        <f t="shared" si="16"/>
        <v>0</v>
      </c>
      <c r="I62" s="185">
        <f t="shared" si="17"/>
        <v>0</v>
      </c>
      <c r="J62" s="185">
        <f t="shared" si="18"/>
        <v>0</v>
      </c>
      <c r="K62" s="207">
        <f t="shared" si="19"/>
        <v>2.9322364052169916</v>
      </c>
      <c r="O62" s="224" t="s">
        <v>13</v>
      </c>
      <c r="P62" s="113">
        <v>1.4190339839029253</v>
      </c>
      <c r="Q62" s="113">
        <v>0</v>
      </c>
      <c r="R62" s="113">
        <v>0</v>
      </c>
      <c r="S62" s="113">
        <v>460.9392348036214</v>
      </c>
      <c r="T62" s="113">
        <v>1728.8579807460874</v>
      </c>
      <c r="U62" s="113">
        <v>19.69</v>
      </c>
      <c r="V62" s="118">
        <v>0</v>
      </c>
      <c r="W62" s="113">
        <v>0</v>
      </c>
      <c r="X62" s="113">
        <v>0</v>
      </c>
      <c r="Y62" s="214">
        <v>2210.9062495336116</v>
      </c>
      <c r="AC62" s="195" t="s">
        <v>13</v>
      </c>
      <c r="AD62" s="185">
        <v>0.0018820079362107762</v>
      </c>
      <c r="AE62" s="185">
        <v>0</v>
      </c>
      <c r="AF62" s="185">
        <v>0</v>
      </c>
      <c r="AG62" s="185">
        <v>0.6113252450976411</v>
      </c>
      <c r="AH62" s="185">
        <v>2.2929150938277023</v>
      </c>
      <c r="AI62" s="185">
        <v>0.026114058355437668</v>
      </c>
      <c r="AJ62" s="194">
        <v>0</v>
      </c>
      <c r="AK62" s="185">
        <v>0</v>
      </c>
      <c r="AL62" s="185">
        <v>0</v>
      </c>
      <c r="AM62" s="207">
        <v>2.9322364052169916</v>
      </c>
    </row>
    <row r="63" spans="1:39" s="117" customFormat="1" ht="10.5" customHeight="1" thickBot="1">
      <c r="A63" s="200" t="s">
        <v>247</v>
      </c>
      <c r="B63" s="201">
        <f t="shared" si="10"/>
        <v>0</v>
      </c>
      <c r="C63" s="201">
        <f t="shared" si="11"/>
        <v>0</v>
      </c>
      <c r="D63" s="201">
        <f t="shared" si="12"/>
        <v>0</v>
      </c>
      <c r="E63" s="201">
        <f t="shared" si="13"/>
        <v>15.580404791396061</v>
      </c>
      <c r="F63" s="201">
        <f t="shared" si="14"/>
        <v>1.1085617320977714</v>
      </c>
      <c r="G63" s="201">
        <f t="shared" si="15"/>
        <v>0</v>
      </c>
      <c r="H63" s="201">
        <f t="shared" si="16"/>
        <v>0</v>
      </c>
      <c r="I63" s="201">
        <f t="shared" si="17"/>
        <v>0</v>
      </c>
      <c r="J63" s="201">
        <f t="shared" si="18"/>
        <v>0</v>
      </c>
      <c r="K63" s="211">
        <f t="shared" si="19"/>
        <v>16.688966523493832</v>
      </c>
      <c r="O63" s="227" t="s">
        <v>247</v>
      </c>
      <c r="P63" s="121">
        <v>0</v>
      </c>
      <c r="Q63" s="121">
        <v>0</v>
      </c>
      <c r="R63" s="121">
        <v>0</v>
      </c>
      <c r="S63" s="121">
        <v>11747.62521271263</v>
      </c>
      <c r="T63" s="121">
        <v>835.8555460017196</v>
      </c>
      <c r="U63" s="121">
        <v>0</v>
      </c>
      <c r="V63" s="121">
        <v>0</v>
      </c>
      <c r="W63" s="121">
        <v>0</v>
      </c>
      <c r="X63" s="121">
        <v>0</v>
      </c>
      <c r="Y63" s="219">
        <v>12583.48075871435</v>
      </c>
      <c r="Z63" s="110"/>
      <c r="AA63" s="110"/>
      <c r="AB63" s="110"/>
      <c r="AC63" s="200" t="s">
        <v>247</v>
      </c>
      <c r="AD63" s="201">
        <v>0</v>
      </c>
      <c r="AE63" s="201">
        <v>0</v>
      </c>
      <c r="AF63" s="201">
        <v>0</v>
      </c>
      <c r="AG63" s="201">
        <v>15.580404791396061</v>
      </c>
      <c r="AH63" s="201">
        <v>1.1085617320977714</v>
      </c>
      <c r="AI63" s="201">
        <v>0</v>
      </c>
      <c r="AJ63" s="201">
        <v>0</v>
      </c>
      <c r="AK63" s="201">
        <v>0</v>
      </c>
      <c r="AL63" s="201">
        <v>0</v>
      </c>
      <c r="AM63" s="211">
        <v>16.688966523493832</v>
      </c>
    </row>
    <row r="64" spans="1:39" ht="12" customHeight="1" thickTop="1">
      <c r="A64" s="122" t="s">
        <v>248</v>
      </c>
      <c r="B64" s="122"/>
      <c r="C64" s="122"/>
      <c r="D64" s="122"/>
      <c r="E64" s="122"/>
      <c r="F64" s="122"/>
      <c r="G64" s="122"/>
      <c r="H64" s="100"/>
      <c r="I64" s="100"/>
      <c r="J64" s="100"/>
      <c r="K64" s="100"/>
      <c r="O64" s="122" t="s">
        <v>248</v>
      </c>
      <c r="P64" s="122"/>
      <c r="Q64" s="122"/>
      <c r="R64" s="122"/>
      <c r="S64" s="122"/>
      <c r="T64" s="122"/>
      <c r="U64" s="122"/>
      <c r="V64" s="100"/>
      <c r="W64" s="100"/>
      <c r="X64" s="100"/>
      <c r="Y64" s="100"/>
      <c r="AC64" s="122" t="s">
        <v>248</v>
      </c>
      <c r="AD64" s="122"/>
      <c r="AE64" s="122"/>
      <c r="AF64" s="122"/>
      <c r="AG64" s="122"/>
      <c r="AH64" s="122"/>
      <c r="AI64" s="122"/>
      <c r="AJ64" s="100"/>
      <c r="AK64" s="100"/>
      <c r="AL64" s="100"/>
      <c r="AM64" s="100"/>
    </row>
    <row r="65" spans="1:39" ht="9.75" customHeight="1">
      <c r="A65" s="122" t="s">
        <v>249</v>
      </c>
      <c r="B65" s="122"/>
      <c r="C65" s="122"/>
      <c r="D65" s="122"/>
      <c r="E65" s="122"/>
      <c r="F65" s="122"/>
      <c r="G65" s="122"/>
      <c r="H65" s="100"/>
      <c r="I65" s="100"/>
      <c r="J65" s="100"/>
      <c r="K65" s="100"/>
      <c r="O65" s="122" t="s">
        <v>249</v>
      </c>
      <c r="P65" s="122"/>
      <c r="Q65" s="122"/>
      <c r="R65" s="122"/>
      <c r="S65" s="122"/>
      <c r="T65" s="122"/>
      <c r="U65" s="122"/>
      <c r="V65" s="100"/>
      <c r="W65" s="100"/>
      <c r="X65" s="100"/>
      <c r="Y65" s="100"/>
      <c r="AC65" s="122" t="s">
        <v>249</v>
      </c>
      <c r="AD65" s="122"/>
      <c r="AE65" s="122"/>
      <c r="AF65" s="122"/>
      <c r="AG65" s="122"/>
      <c r="AH65" s="122"/>
      <c r="AI65" s="122"/>
      <c r="AJ65" s="100"/>
      <c r="AK65" s="100"/>
      <c r="AL65" s="100"/>
      <c r="AM65" s="100"/>
    </row>
    <row r="66" spans="1:39" ht="9.75" customHeight="1">
      <c r="A66" s="122" t="s">
        <v>250</v>
      </c>
      <c r="B66" s="122"/>
      <c r="C66" s="122"/>
      <c r="D66" s="122"/>
      <c r="E66" s="122"/>
      <c r="F66" s="122"/>
      <c r="G66" s="122"/>
      <c r="H66" s="100"/>
      <c r="I66" s="100"/>
      <c r="J66" s="100"/>
      <c r="K66" s="100"/>
      <c r="O66" s="122" t="s">
        <v>250</v>
      </c>
      <c r="P66" s="122"/>
      <c r="Q66" s="122"/>
      <c r="R66" s="122"/>
      <c r="S66" s="122"/>
      <c r="T66" s="122"/>
      <c r="U66" s="122"/>
      <c r="V66" s="100"/>
      <c r="W66" s="100"/>
      <c r="X66" s="100"/>
      <c r="Y66" s="100"/>
      <c r="AC66" s="122" t="s">
        <v>250</v>
      </c>
      <c r="AD66" s="122"/>
      <c r="AE66" s="122"/>
      <c r="AF66" s="122"/>
      <c r="AG66" s="122"/>
      <c r="AH66" s="122"/>
      <c r="AI66" s="122"/>
      <c r="AJ66" s="100"/>
      <c r="AK66" s="100"/>
      <c r="AL66" s="100"/>
      <c r="AM66" s="100"/>
    </row>
    <row r="67" spans="1:39" ht="9.75" customHeight="1">
      <c r="A67" s="122" t="s">
        <v>251</v>
      </c>
      <c r="B67" s="122"/>
      <c r="C67" s="122"/>
      <c r="D67" s="122"/>
      <c r="E67" s="122"/>
      <c r="F67" s="122"/>
      <c r="G67" s="122"/>
      <c r="H67" s="100"/>
      <c r="I67" s="100"/>
      <c r="J67" s="100"/>
      <c r="K67" s="100"/>
      <c r="O67" s="122" t="s">
        <v>251</v>
      </c>
      <c r="P67" s="122"/>
      <c r="Q67" s="122"/>
      <c r="R67" s="122"/>
      <c r="S67" s="122"/>
      <c r="T67" s="122"/>
      <c r="U67" s="122"/>
      <c r="V67" s="100"/>
      <c r="W67" s="100"/>
      <c r="X67" s="100"/>
      <c r="Y67" s="100"/>
      <c r="AC67" s="122" t="s">
        <v>251</v>
      </c>
      <c r="AD67" s="122"/>
      <c r="AE67" s="122"/>
      <c r="AF67" s="122"/>
      <c r="AG67" s="122"/>
      <c r="AH67" s="122"/>
      <c r="AI67" s="122"/>
      <c r="AJ67" s="100"/>
      <c r="AK67" s="100"/>
      <c r="AL67" s="100"/>
      <c r="AM67" s="100"/>
    </row>
    <row r="68" spans="1:39" ht="9.75" customHeight="1">
      <c r="A68" s="122" t="s">
        <v>252</v>
      </c>
      <c r="B68" s="122"/>
      <c r="C68" s="122"/>
      <c r="D68" s="122"/>
      <c r="E68" s="122"/>
      <c r="F68" s="122"/>
      <c r="G68" s="122"/>
      <c r="H68" s="100"/>
      <c r="I68" s="100"/>
      <c r="J68" s="100"/>
      <c r="K68" s="100"/>
      <c r="O68" s="122" t="s">
        <v>252</v>
      </c>
      <c r="P68" s="122"/>
      <c r="Q68" s="122"/>
      <c r="R68" s="122"/>
      <c r="S68" s="122"/>
      <c r="T68" s="122"/>
      <c r="U68" s="122"/>
      <c r="V68" s="100"/>
      <c r="W68" s="100"/>
      <c r="X68" s="100"/>
      <c r="Y68" s="100"/>
      <c r="AC68" s="122" t="s">
        <v>252</v>
      </c>
      <c r="AD68" s="122"/>
      <c r="AE68" s="122"/>
      <c r="AF68" s="122"/>
      <c r="AG68" s="122"/>
      <c r="AH68" s="122"/>
      <c r="AI68" s="122"/>
      <c r="AJ68" s="100"/>
      <c r="AK68" s="100"/>
      <c r="AL68" s="100"/>
      <c r="AM68" s="100"/>
    </row>
    <row r="69" spans="1:39" ht="9.75" customHeight="1">
      <c r="A69" s="122" t="s">
        <v>253</v>
      </c>
      <c r="B69" s="123"/>
      <c r="C69" s="123"/>
      <c r="D69" s="123"/>
      <c r="E69" s="123"/>
      <c r="F69" s="123"/>
      <c r="G69" s="123"/>
      <c r="H69" s="123"/>
      <c r="I69" s="123"/>
      <c r="J69" s="123"/>
      <c r="K69" s="123"/>
      <c r="O69" s="122" t="s">
        <v>253</v>
      </c>
      <c r="P69" s="123"/>
      <c r="Q69" s="123"/>
      <c r="R69" s="123"/>
      <c r="S69" s="123"/>
      <c r="T69" s="123"/>
      <c r="U69" s="123"/>
      <c r="V69" s="123"/>
      <c r="W69" s="123"/>
      <c r="X69" s="123"/>
      <c r="Y69" s="123"/>
      <c r="AC69" s="122" t="s">
        <v>253</v>
      </c>
      <c r="AD69" s="123"/>
      <c r="AE69" s="123"/>
      <c r="AF69" s="123"/>
      <c r="AG69" s="123"/>
      <c r="AH69" s="123"/>
      <c r="AI69" s="123"/>
      <c r="AJ69" s="123"/>
      <c r="AK69" s="123"/>
      <c r="AL69" s="123"/>
      <c r="AM69" s="123"/>
    </row>
    <row r="70" spans="29:34" ht="12.75">
      <c r="AC70" s="278" t="s">
        <v>374</v>
      </c>
      <c r="AD70" s="270" t="s">
        <v>375</v>
      </c>
      <c r="AE70" s="270"/>
      <c r="AF70" s="274" t="s">
        <v>109</v>
      </c>
      <c r="AG70" s="274" t="s">
        <v>112</v>
      </c>
      <c r="AH70" s="275" t="s">
        <v>110</v>
      </c>
    </row>
    <row r="71" spans="29:34" ht="12.75">
      <c r="AC71" s="273" t="s">
        <v>357</v>
      </c>
      <c r="AD71" s="271" t="s">
        <v>376</v>
      </c>
      <c r="AE71" s="272"/>
      <c r="AF71" s="276">
        <f>AD12-AD63</f>
        <v>52.39223969602934</v>
      </c>
      <c r="AG71" s="276">
        <f>AF12+AG12-AG63</f>
        <v>102.56237501888371</v>
      </c>
      <c r="AH71" s="277">
        <f>AH12-AH63</f>
        <v>123.92872732005537</v>
      </c>
    </row>
    <row r="72" ht="12.75"/>
    <row r="73" ht="12.75"/>
    <row r="74" ht="12.75"/>
    <row r="75" ht="12.75"/>
    <row r="76" spans="1:41" ht="27">
      <c r="A76" s="124" t="s">
        <v>260</v>
      </c>
      <c r="B76" s="125"/>
      <c r="C76" s="125"/>
      <c r="D76" s="125"/>
      <c r="E76" s="125"/>
      <c r="F76" s="125"/>
      <c r="G76" s="125"/>
      <c r="H76" s="125"/>
      <c r="I76" s="125"/>
      <c r="J76" s="125"/>
      <c r="K76" s="125"/>
      <c r="L76" s="125"/>
      <c r="M76" s="125"/>
      <c r="O76" s="124" t="s">
        <v>260</v>
      </c>
      <c r="P76" s="125"/>
      <c r="Q76" s="125"/>
      <c r="R76" s="125"/>
      <c r="S76" s="125"/>
      <c r="T76" s="125"/>
      <c r="U76" s="125"/>
      <c r="V76" s="125"/>
      <c r="W76" s="125"/>
      <c r="X76" s="125"/>
      <c r="Y76" s="125"/>
      <c r="Z76" s="125"/>
      <c r="AA76" s="125"/>
      <c r="AC76" s="124" t="s">
        <v>260</v>
      </c>
      <c r="AD76" s="125"/>
      <c r="AE76" s="125"/>
      <c r="AF76" s="125"/>
      <c r="AG76" s="125"/>
      <c r="AH76" s="125"/>
      <c r="AI76" s="125"/>
      <c r="AJ76" s="125"/>
      <c r="AK76" s="125"/>
      <c r="AL76" s="125"/>
      <c r="AM76" s="125"/>
      <c r="AN76" s="125"/>
      <c r="AO76" s="125"/>
    </row>
    <row r="77" spans="1:41" ht="13.5" thickBot="1">
      <c r="A77" s="126"/>
      <c r="B77" s="127"/>
      <c r="C77" s="127"/>
      <c r="D77" s="127"/>
      <c r="E77" s="127"/>
      <c r="F77" s="127"/>
      <c r="G77" s="127"/>
      <c r="H77" s="127"/>
      <c r="I77" s="127"/>
      <c r="J77" s="127"/>
      <c r="K77" s="127"/>
      <c r="L77" s="127"/>
      <c r="M77" s="104" t="s">
        <v>304</v>
      </c>
      <c r="O77" s="126"/>
      <c r="P77" s="127"/>
      <c r="Q77" s="127"/>
      <c r="R77" s="127"/>
      <c r="S77" s="127"/>
      <c r="T77" s="127"/>
      <c r="U77" s="127"/>
      <c r="V77" s="127"/>
      <c r="W77" s="127"/>
      <c r="X77" s="127"/>
      <c r="Y77" s="127"/>
      <c r="Z77" s="127"/>
      <c r="AA77" s="127" t="s">
        <v>261</v>
      </c>
      <c r="AC77" s="126"/>
      <c r="AD77" s="127"/>
      <c r="AE77" s="127"/>
      <c r="AF77" s="127"/>
      <c r="AG77" s="127"/>
      <c r="AH77" s="127"/>
      <c r="AI77" s="127"/>
      <c r="AJ77" s="127"/>
      <c r="AK77" s="127"/>
      <c r="AL77" s="127"/>
      <c r="AM77" s="127"/>
      <c r="AN77" s="127"/>
      <c r="AO77" s="104" t="s">
        <v>304</v>
      </c>
    </row>
    <row r="78" spans="1:41" ht="13.5" thickTop="1">
      <c r="A78" s="128"/>
      <c r="B78" s="710" t="s">
        <v>262</v>
      </c>
      <c r="C78" s="710"/>
      <c r="D78" s="710"/>
      <c r="E78" s="710"/>
      <c r="F78" s="710"/>
      <c r="G78" s="710"/>
      <c r="H78" s="710"/>
      <c r="I78" s="129"/>
      <c r="J78" s="710" t="s">
        <v>263</v>
      </c>
      <c r="K78" s="710"/>
      <c r="L78" s="710"/>
      <c r="M78" s="710"/>
      <c r="O78" s="128"/>
      <c r="P78" s="710" t="s">
        <v>262</v>
      </c>
      <c r="Q78" s="710"/>
      <c r="R78" s="710"/>
      <c r="S78" s="710"/>
      <c r="T78" s="710"/>
      <c r="U78" s="710"/>
      <c r="V78" s="710"/>
      <c r="W78" s="129"/>
      <c r="X78" s="710" t="s">
        <v>263</v>
      </c>
      <c r="Y78" s="710"/>
      <c r="Z78" s="710"/>
      <c r="AA78" s="710"/>
      <c r="AC78" s="128"/>
      <c r="AD78" s="710" t="s">
        <v>262</v>
      </c>
      <c r="AE78" s="710"/>
      <c r="AF78" s="710"/>
      <c r="AG78" s="710"/>
      <c r="AH78" s="710"/>
      <c r="AI78" s="710"/>
      <c r="AJ78" s="710"/>
      <c r="AK78" s="129"/>
      <c r="AL78" s="710" t="s">
        <v>263</v>
      </c>
      <c r="AM78" s="710"/>
      <c r="AN78" s="710"/>
      <c r="AO78" s="710"/>
    </row>
    <row r="79" spans="1:41" ht="12.75">
      <c r="A79" s="130"/>
      <c r="B79" s="131" t="s">
        <v>109</v>
      </c>
      <c r="C79" s="131" t="s">
        <v>112</v>
      </c>
      <c r="D79" s="131" t="s">
        <v>110</v>
      </c>
      <c r="E79" s="131" t="s">
        <v>3</v>
      </c>
      <c r="F79" s="131" t="s">
        <v>264</v>
      </c>
      <c r="G79" s="131" t="s">
        <v>265</v>
      </c>
      <c r="H79" s="131" t="s">
        <v>16</v>
      </c>
      <c r="I79" s="131"/>
      <c r="J79" s="131" t="s">
        <v>266</v>
      </c>
      <c r="K79" s="131" t="s">
        <v>266</v>
      </c>
      <c r="L79" s="132" t="s">
        <v>222</v>
      </c>
      <c r="M79" s="133" t="s">
        <v>16</v>
      </c>
      <c r="O79" s="130"/>
      <c r="P79" s="131" t="s">
        <v>109</v>
      </c>
      <c r="Q79" s="131" t="s">
        <v>112</v>
      </c>
      <c r="R79" s="131" t="s">
        <v>110</v>
      </c>
      <c r="S79" s="131" t="s">
        <v>3</v>
      </c>
      <c r="T79" s="131" t="s">
        <v>264</v>
      </c>
      <c r="U79" s="131" t="s">
        <v>265</v>
      </c>
      <c r="V79" s="131" t="s">
        <v>16</v>
      </c>
      <c r="W79" s="131"/>
      <c r="X79" s="131" t="s">
        <v>266</v>
      </c>
      <c r="Y79" s="131" t="s">
        <v>266</v>
      </c>
      <c r="Z79" s="132" t="s">
        <v>222</v>
      </c>
      <c r="AA79" s="133" t="s">
        <v>16</v>
      </c>
      <c r="AC79" s="130"/>
      <c r="AD79" s="131" t="s">
        <v>109</v>
      </c>
      <c r="AE79" s="131" t="s">
        <v>112</v>
      </c>
      <c r="AF79" s="131" t="s">
        <v>110</v>
      </c>
      <c r="AG79" s="131" t="s">
        <v>3</v>
      </c>
      <c r="AH79" s="131" t="s">
        <v>264</v>
      </c>
      <c r="AI79" s="131" t="s">
        <v>265</v>
      </c>
      <c r="AJ79" s="131" t="s">
        <v>16</v>
      </c>
      <c r="AK79" s="131"/>
      <c r="AL79" s="131" t="s">
        <v>266</v>
      </c>
      <c r="AM79" s="131" t="s">
        <v>266</v>
      </c>
      <c r="AN79" s="132" t="s">
        <v>222</v>
      </c>
      <c r="AO79" s="133" t="s">
        <v>16</v>
      </c>
    </row>
    <row r="80" spans="1:41" ht="12.75">
      <c r="A80" s="130"/>
      <c r="B80" s="134"/>
      <c r="C80" s="135"/>
      <c r="D80" s="135"/>
      <c r="E80" s="135"/>
      <c r="F80" s="131" t="s">
        <v>267</v>
      </c>
      <c r="G80" s="136" t="s">
        <v>268</v>
      </c>
      <c r="H80" s="135"/>
      <c r="I80" s="135"/>
      <c r="J80" s="131" t="s">
        <v>269</v>
      </c>
      <c r="K80" s="131" t="s">
        <v>270</v>
      </c>
      <c r="L80" s="137" t="s">
        <v>271</v>
      </c>
      <c r="M80" s="132" t="s">
        <v>272</v>
      </c>
      <c r="O80" s="130"/>
      <c r="P80" s="134"/>
      <c r="Q80" s="135"/>
      <c r="R80" s="135"/>
      <c r="S80" s="135"/>
      <c r="T80" s="131" t="s">
        <v>267</v>
      </c>
      <c r="U80" s="136" t="s">
        <v>268</v>
      </c>
      <c r="V80" s="135"/>
      <c r="W80" s="135"/>
      <c r="X80" s="131" t="s">
        <v>269</v>
      </c>
      <c r="Y80" s="131" t="s">
        <v>270</v>
      </c>
      <c r="Z80" s="137" t="s">
        <v>271</v>
      </c>
      <c r="AA80" s="132" t="s">
        <v>272</v>
      </c>
      <c r="AC80" s="130"/>
      <c r="AD80" s="134"/>
      <c r="AE80" s="135"/>
      <c r="AF80" s="135"/>
      <c r="AG80" s="135"/>
      <c r="AH80" s="131" t="s">
        <v>267</v>
      </c>
      <c r="AI80" s="136" t="s">
        <v>268</v>
      </c>
      <c r="AJ80" s="135"/>
      <c r="AK80" s="135"/>
      <c r="AL80" s="131" t="s">
        <v>269</v>
      </c>
      <c r="AM80" s="131" t="s">
        <v>270</v>
      </c>
      <c r="AN80" s="137" t="s">
        <v>271</v>
      </c>
      <c r="AO80" s="132" t="s">
        <v>272</v>
      </c>
    </row>
    <row r="81" spans="1:41" ht="12.75">
      <c r="A81" s="138"/>
      <c r="B81" s="139"/>
      <c r="C81" s="139"/>
      <c r="D81" s="140"/>
      <c r="E81" s="140"/>
      <c r="F81" s="141" t="s">
        <v>273</v>
      </c>
      <c r="G81" s="140"/>
      <c r="H81" s="140"/>
      <c r="I81" s="140"/>
      <c r="J81" s="142" t="s">
        <v>274</v>
      </c>
      <c r="K81" s="142" t="s">
        <v>275</v>
      </c>
      <c r="L81" s="143"/>
      <c r="M81" s="144" t="s">
        <v>276</v>
      </c>
      <c r="O81" s="138"/>
      <c r="P81" s="139"/>
      <c r="Q81" s="139"/>
      <c r="R81" s="140"/>
      <c r="S81" s="140"/>
      <c r="T81" s="141" t="s">
        <v>273</v>
      </c>
      <c r="U81" s="140"/>
      <c r="V81" s="140"/>
      <c r="W81" s="140"/>
      <c r="X81" s="142" t="s">
        <v>274</v>
      </c>
      <c r="Y81" s="142" t="s">
        <v>275</v>
      </c>
      <c r="Z81" s="143"/>
      <c r="AA81" s="144" t="s">
        <v>276</v>
      </c>
      <c r="AC81" s="138"/>
      <c r="AD81" s="139"/>
      <c r="AE81" s="139"/>
      <c r="AF81" s="140"/>
      <c r="AG81" s="140"/>
      <c r="AH81" s="141" t="s">
        <v>273</v>
      </c>
      <c r="AI81" s="140"/>
      <c r="AJ81" s="140"/>
      <c r="AK81" s="140"/>
      <c r="AL81" s="142" t="s">
        <v>274</v>
      </c>
      <c r="AM81" s="142" t="s">
        <v>275</v>
      </c>
      <c r="AN81" s="143"/>
      <c r="AO81" s="144" t="s">
        <v>276</v>
      </c>
    </row>
    <row r="82" spans="1:41" ht="12.75">
      <c r="A82" s="145">
        <v>2005</v>
      </c>
      <c r="B82" s="242"/>
      <c r="C82" s="242"/>
      <c r="D82" s="242"/>
      <c r="E82" s="242"/>
      <c r="F82" s="242"/>
      <c r="G82" s="242"/>
      <c r="H82" s="242"/>
      <c r="I82" s="242"/>
      <c r="J82" s="242"/>
      <c r="K82" s="242"/>
      <c r="L82" s="242"/>
      <c r="M82" s="242"/>
      <c r="O82" s="145">
        <v>2005</v>
      </c>
      <c r="P82" s="146"/>
      <c r="Q82" s="146"/>
      <c r="R82" s="146"/>
      <c r="S82" s="146"/>
      <c r="T82" s="146"/>
      <c r="U82" s="146"/>
      <c r="V82" s="146"/>
      <c r="W82" s="146"/>
      <c r="X82" s="146"/>
      <c r="Y82" s="146"/>
      <c r="Z82" s="146"/>
      <c r="AA82" s="146"/>
      <c r="AC82" s="145">
        <v>2005</v>
      </c>
      <c r="AD82" s="242"/>
      <c r="AE82" s="242"/>
      <c r="AF82" s="242"/>
      <c r="AG82" s="242"/>
      <c r="AH82" s="242"/>
      <c r="AI82" s="242"/>
      <c r="AJ82" s="242"/>
      <c r="AK82" s="242"/>
      <c r="AL82" s="242"/>
      <c r="AM82" s="242"/>
      <c r="AN82" s="242"/>
      <c r="AO82" s="242"/>
    </row>
    <row r="83" spans="1:41" ht="12.75">
      <c r="A83" s="147" t="s">
        <v>277</v>
      </c>
      <c r="B83" s="243"/>
      <c r="C83" s="243"/>
      <c r="D83" s="243"/>
      <c r="E83" s="243"/>
      <c r="F83" s="243"/>
      <c r="G83" s="243"/>
      <c r="H83" s="243"/>
      <c r="I83" s="243"/>
      <c r="J83" s="243"/>
      <c r="K83" s="243"/>
      <c r="L83" s="243"/>
      <c r="M83" s="243"/>
      <c r="O83" s="147" t="s">
        <v>277</v>
      </c>
      <c r="P83" s="148"/>
      <c r="Q83" s="148"/>
      <c r="R83" s="148"/>
      <c r="S83" s="148"/>
      <c r="T83" s="148"/>
      <c r="U83" s="148"/>
      <c r="V83" s="148"/>
      <c r="W83" s="148"/>
      <c r="X83" s="148"/>
      <c r="Y83" s="148"/>
      <c r="Z83" s="148"/>
      <c r="AA83" s="148"/>
      <c r="AC83" s="147" t="s">
        <v>346</v>
      </c>
      <c r="AD83" s="243"/>
      <c r="AE83" s="243"/>
      <c r="AF83" s="243"/>
      <c r="AG83" s="243"/>
      <c r="AH83" s="243"/>
      <c r="AI83" s="243"/>
      <c r="AJ83" s="243"/>
      <c r="AK83" s="243"/>
      <c r="AL83" s="243"/>
      <c r="AM83" s="243"/>
      <c r="AN83" s="243"/>
      <c r="AO83" s="243"/>
    </row>
    <row r="84" spans="1:41" ht="12.75">
      <c r="A84" s="149" t="s">
        <v>278</v>
      </c>
      <c r="B84" s="243">
        <f aca="true" t="shared" si="20" ref="B84:K87">P84/(365*24)</f>
        <v>42.013838540617265</v>
      </c>
      <c r="C84" s="243">
        <f t="shared" si="20"/>
        <v>1.0979463470319635</v>
      </c>
      <c r="D84" s="243">
        <f t="shared" si="20"/>
        <v>33.7491820032741</v>
      </c>
      <c r="E84" s="243">
        <f t="shared" si="20"/>
        <v>24.39054119856761</v>
      </c>
      <c r="F84" s="243">
        <f t="shared" si="20"/>
        <v>1.0862353754147176</v>
      </c>
      <c r="G84" s="243">
        <f t="shared" si="20"/>
        <v>0</v>
      </c>
      <c r="H84" s="243">
        <f t="shared" si="20"/>
        <v>102.33774346490566</v>
      </c>
      <c r="I84" s="243">
        <f t="shared" si="20"/>
        <v>0</v>
      </c>
      <c r="J84" s="243">
        <f t="shared" si="20"/>
        <v>0.45583378995433793</v>
      </c>
      <c r="K84" s="243">
        <f t="shared" si="20"/>
        <v>0.3344473125</v>
      </c>
      <c r="L84" s="243">
        <f aca="true" t="shared" si="21" ref="L84:M87">Z84/(365*24)</f>
        <v>0</v>
      </c>
      <c r="M84" s="243">
        <f t="shared" si="21"/>
        <v>103.12802456736</v>
      </c>
      <c r="O84" s="149" t="s">
        <v>278</v>
      </c>
      <c r="P84" s="148">
        <v>368041.2256158072</v>
      </c>
      <c r="Q84" s="148">
        <v>9618.01</v>
      </c>
      <c r="R84" s="148">
        <v>295642.83434868115</v>
      </c>
      <c r="S84" s="148">
        <v>213661.14089945226</v>
      </c>
      <c r="T84" s="148">
        <v>9515.421888632925</v>
      </c>
      <c r="U84" s="148">
        <v>0</v>
      </c>
      <c r="V84" s="148">
        <v>896478.6327525736</v>
      </c>
      <c r="W84" s="148"/>
      <c r="X84" s="148">
        <v>3993.1040000000003</v>
      </c>
      <c r="Y84" s="148">
        <v>2929.7584574999996</v>
      </c>
      <c r="Z84" s="148">
        <v>0</v>
      </c>
      <c r="AA84" s="148">
        <v>903401.4952100737</v>
      </c>
      <c r="AC84" s="149" t="s">
        <v>278</v>
      </c>
      <c r="AD84" s="243">
        <v>42.013838540617265</v>
      </c>
      <c r="AE84" s="243">
        <v>1.0979463470319635</v>
      </c>
      <c r="AF84" s="243">
        <v>33.7491820032741</v>
      </c>
      <c r="AG84" s="243">
        <v>24.39054119856761</v>
      </c>
      <c r="AH84" s="243">
        <v>1.0862353754147176</v>
      </c>
      <c r="AI84" s="243">
        <v>0</v>
      </c>
      <c r="AJ84" s="243">
        <v>102.33774346490566</v>
      </c>
      <c r="AK84" s="243">
        <v>0</v>
      </c>
      <c r="AL84" s="243">
        <v>0.45583378995433793</v>
      </c>
      <c r="AM84" s="243">
        <v>0.3344473125</v>
      </c>
      <c r="AN84" s="243">
        <v>0</v>
      </c>
      <c r="AO84" s="243">
        <v>103.12802456736</v>
      </c>
    </row>
    <row r="85" spans="1:41" ht="12.75">
      <c r="A85" s="149" t="s">
        <v>279</v>
      </c>
      <c r="B85" s="243">
        <f t="shared" si="20"/>
        <v>14.942251715361053</v>
      </c>
      <c r="C85" s="243">
        <f t="shared" si="20"/>
        <v>0.310035403591185</v>
      </c>
      <c r="D85" s="243">
        <f t="shared" si="20"/>
        <v>15.694376954686755</v>
      </c>
      <c r="E85" s="243">
        <f t="shared" si="20"/>
        <v>9.317135027753425</v>
      </c>
      <c r="F85" s="243">
        <f t="shared" si="20"/>
        <v>0.3134239726027398</v>
      </c>
      <c r="G85" s="243">
        <f t="shared" si="20"/>
        <v>0</v>
      </c>
      <c r="H85" s="243">
        <f t="shared" si="20"/>
        <v>40.57722307399516</v>
      </c>
      <c r="I85" s="243">
        <f t="shared" si="20"/>
        <v>0</v>
      </c>
      <c r="J85" s="243">
        <f t="shared" si="20"/>
        <v>0.45583378995433793</v>
      </c>
      <c r="K85" s="243">
        <f t="shared" si="20"/>
        <v>0.3344473125</v>
      </c>
      <c r="L85" s="243">
        <f t="shared" si="21"/>
        <v>0</v>
      </c>
      <c r="M85" s="243">
        <f t="shared" si="21"/>
        <v>41.3675041764495</v>
      </c>
      <c r="O85" s="149" t="s">
        <v>279</v>
      </c>
      <c r="P85" s="148">
        <v>130894.12502656282</v>
      </c>
      <c r="Q85" s="148">
        <v>2715.9101354587806</v>
      </c>
      <c r="R85" s="148">
        <v>137482.74212305597</v>
      </c>
      <c r="S85" s="148">
        <v>81618.10284312</v>
      </c>
      <c r="T85" s="148">
        <v>2745.5940000000005</v>
      </c>
      <c r="U85" s="148">
        <v>0</v>
      </c>
      <c r="V85" s="148">
        <v>355456.4741281976</v>
      </c>
      <c r="W85" s="148"/>
      <c r="X85" s="148">
        <v>3993.1040000000003</v>
      </c>
      <c r="Y85" s="148">
        <v>2929.7584574999996</v>
      </c>
      <c r="Z85" s="148">
        <v>0</v>
      </c>
      <c r="AA85" s="148">
        <v>362379.3365856976</v>
      </c>
      <c r="AC85" s="149" t="s">
        <v>279</v>
      </c>
      <c r="AD85" s="243">
        <v>14.942251715361053</v>
      </c>
      <c r="AE85" s="243">
        <v>0.310035403591185</v>
      </c>
      <c r="AF85" s="243">
        <v>15.694376954686755</v>
      </c>
      <c r="AG85" s="243">
        <v>9.317135027753425</v>
      </c>
      <c r="AH85" s="243">
        <v>0.3134239726027398</v>
      </c>
      <c r="AI85" s="243">
        <v>0</v>
      </c>
      <c r="AJ85" s="243">
        <v>40.57722307399516</v>
      </c>
      <c r="AK85" s="243">
        <v>0</v>
      </c>
      <c r="AL85" s="243">
        <v>0.45583378995433793</v>
      </c>
      <c r="AM85" s="243">
        <v>0.3344473125</v>
      </c>
      <c r="AN85" s="243">
        <v>0</v>
      </c>
      <c r="AO85" s="243">
        <v>41.3675041764495</v>
      </c>
    </row>
    <row r="86" spans="1:41" ht="12.75">
      <c r="A86" s="149" t="s">
        <v>280</v>
      </c>
      <c r="B86" s="243">
        <f t="shared" si="20"/>
        <v>0.6892190525636434</v>
      </c>
      <c r="C86" s="243">
        <f t="shared" si="20"/>
        <v>0.058323655063880264</v>
      </c>
      <c r="D86" s="243">
        <f t="shared" si="20"/>
        <v>0.3377300025178041</v>
      </c>
      <c r="E86" s="243">
        <f t="shared" si="20"/>
        <v>0.7357665346027392</v>
      </c>
      <c r="F86" s="243">
        <f t="shared" si="20"/>
        <v>0.017549343162708227</v>
      </c>
      <c r="G86" s="243">
        <f t="shared" si="20"/>
        <v>0</v>
      </c>
      <c r="H86" s="243">
        <f t="shared" si="20"/>
        <v>1.8385885879107815</v>
      </c>
      <c r="I86" s="243">
        <f t="shared" si="20"/>
        <v>0</v>
      </c>
      <c r="J86" s="243">
        <f t="shared" si="20"/>
        <v>0.0007520890410959298</v>
      </c>
      <c r="K86" s="243">
        <f t="shared" si="20"/>
        <v>0.01752647916666665</v>
      </c>
      <c r="L86" s="243">
        <f t="shared" si="21"/>
        <v>0</v>
      </c>
      <c r="M86" s="243">
        <f t="shared" si="21"/>
        <v>1.856867156118544</v>
      </c>
      <c r="O86" s="149" t="s">
        <v>280</v>
      </c>
      <c r="P86" s="148">
        <v>6037.558900457516</v>
      </c>
      <c r="Q86" s="148">
        <v>510.9152183595911</v>
      </c>
      <c r="R86" s="148">
        <v>2958.514822055964</v>
      </c>
      <c r="S86" s="148">
        <v>6445.314843119995</v>
      </c>
      <c r="T86" s="148">
        <v>153.73224610532407</v>
      </c>
      <c r="U86" s="148">
        <v>0</v>
      </c>
      <c r="V86" s="148">
        <v>16106.036030098447</v>
      </c>
      <c r="W86" s="148"/>
      <c r="X86" s="148">
        <v>6.588300000000345</v>
      </c>
      <c r="Y86" s="148">
        <v>153.53195749999986</v>
      </c>
      <c r="Z86" s="148">
        <v>0</v>
      </c>
      <c r="AA86" s="148">
        <v>16266.156287598445</v>
      </c>
      <c r="AC86" s="149" t="s">
        <v>280</v>
      </c>
      <c r="AD86" s="243">
        <v>0.6892190525636434</v>
      </c>
      <c r="AE86" s="243">
        <v>0.058323655063880264</v>
      </c>
      <c r="AF86" s="243">
        <v>0.3377300025178041</v>
      </c>
      <c r="AG86" s="243">
        <v>0.7357665346027392</v>
      </c>
      <c r="AH86" s="243">
        <v>0.017549343162708227</v>
      </c>
      <c r="AI86" s="243">
        <v>0</v>
      </c>
      <c r="AJ86" s="243">
        <v>1.8385885879107815</v>
      </c>
      <c r="AK86" s="243">
        <v>0</v>
      </c>
      <c r="AL86" s="243">
        <v>0.0007520890410959298</v>
      </c>
      <c r="AM86" s="243">
        <v>0.01752647916666665</v>
      </c>
      <c r="AN86" s="243">
        <v>0</v>
      </c>
      <c r="AO86" s="243">
        <v>1.856867156118544</v>
      </c>
    </row>
    <row r="87" spans="1:41" ht="12.75">
      <c r="A87" s="149" t="s">
        <v>281</v>
      </c>
      <c r="B87" s="243">
        <f t="shared" si="20"/>
        <v>14.253032662797409</v>
      </c>
      <c r="C87" s="243">
        <f t="shared" si="20"/>
        <v>0.2517117485273047</v>
      </c>
      <c r="D87" s="243">
        <f t="shared" si="20"/>
        <v>15.356646952168951</v>
      </c>
      <c r="E87" s="243">
        <f t="shared" si="20"/>
        <v>8.581368493150684</v>
      </c>
      <c r="F87" s="243">
        <f t="shared" si="20"/>
        <v>0.29587462944003157</v>
      </c>
      <c r="G87" s="243">
        <f t="shared" si="20"/>
        <v>0</v>
      </c>
      <c r="H87" s="243">
        <f t="shared" si="20"/>
        <v>38.73863448608438</v>
      </c>
      <c r="I87" s="243">
        <f t="shared" si="20"/>
        <v>0</v>
      </c>
      <c r="J87" s="243">
        <f t="shared" si="20"/>
        <v>0.455081700913242</v>
      </c>
      <c r="K87" s="243">
        <f t="shared" si="20"/>
        <v>0.3169208333333333</v>
      </c>
      <c r="L87" s="243">
        <f t="shared" si="21"/>
        <v>0</v>
      </c>
      <c r="M87" s="243">
        <f t="shared" si="21"/>
        <v>39.51063702033095</v>
      </c>
      <c r="O87" s="149" t="s">
        <v>281</v>
      </c>
      <c r="P87" s="148">
        <v>124856.5661261053</v>
      </c>
      <c r="Q87" s="148">
        <v>2204.9949170991895</v>
      </c>
      <c r="R87" s="148">
        <v>134524.227301</v>
      </c>
      <c r="S87" s="148">
        <v>75172.788</v>
      </c>
      <c r="T87" s="148">
        <v>2591.8617538946764</v>
      </c>
      <c r="U87" s="148">
        <v>0</v>
      </c>
      <c r="V87" s="148">
        <v>339350.43809809914</v>
      </c>
      <c r="W87" s="148"/>
      <c r="X87" s="148">
        <v>3986.5157</v>
      </c>
      <c r="Y87" s="148">
        <v>2776.2264999999998</v>
      </c>
      <c r="Z87" s="148">
        <v>0</v>
      </c>
      <c r="AA87" s="148">
        <v>346113.1802980991</v>
      </c>
      <c r="AC87" s="149" t="s">
        <v>281</v>
      </c>
      <c r="AD87" s="243">
        <v>14.253032662797409</v>
      </c>
      <c r="AE87" s="243">
        <v>0.2517117485273047</v>
      </c>
      <c r="AF87" s="243">
        <v>15.356646952168951</v>
      </c>
      <c r="AG87" s="243">
        <v>8.581368493150684</v>
      </c>
      <c r="AH87" s="243">
        <v>0.29587462944003157</v>
      </c>
      <c r="AI87" s="243">
        <v>0</v>
      </c>
      <c r="AJ87" s="243">
        <v>38.73863448608438</v>
      </c>
      <c r="AK87" s="243">
        <v>0</v>
      </c>
      <c r="AL87" s="243">
        <v>0.455081700913242</v>
      </c>
      <c r="AM87" s="243">
        <v>0.3169208333333333</v>
      </c>
      <c r="AN87" s="243">
        <v>0</v>
      </c>
      <c r="AO87" s="243">
        <v>39.51063702033095</v>
      </c>
    </row>
    <row r="88" spans="1:41" ht="12.75">
      <c r="A88" s="149" t="s">
        <v>282</v>
      </c>
      <c r="B88" s="243"/>
      <c r="C88" s="243"/>
      <c r="D88" s="243"/>
      <c r="E88" s="243"/>
      <c r="F88" s="243"/>
      <c r="G88" s="243"/>
      <c r="H88" s="243"/>
      <c r="I88" s="243"/>
      <c r="J88" s="243"/>
      <c r="K88" s="243"/>
      <c r="L88" s="243"/>
      <c r="M88" s="243">
        <f>AA88/(365*24)</f>
        <v>0.4231534303652968</v>
      </c>
      <c r="O88" s="149" t="s">
        <v>282</v>
      </c>
      <c r="P88" s="148"/>
      <c r="Q88" s="148"/>
      <c r="R88" s="148"/>
      <c r="S88" s="148"/>
      <c r="T88" s="148"/>
      <c r="U88" s="148"/>
      <c r="V88" s="148"/>
      <c r="W88" s="148"/>
      <c r="X88" s="148"/>
      <c r="Y88" s="148"/>
      <c r="Z88" s="148"/>
      <c r="AA88" s="148">
        <v>3706.8240499999997</v>
      </c>
      <c r="AC88" s="149" t="s">
        <v>282</v>
      </c>
      <c r="AD88" s="243"/>
      <c r="AE88" s="243"/>
      <c r="AF88" s="243"/>
      <c r="AG88" s="243"/>
      <c r="AH88" s="243"/>
      <c r="AI88" s="243"/>
      <c r="AJ88" s="243"/>
      <c r="AK88" s="243"/>
      <c r="AL88" s="243"/>
      <c r="AM88" s="243"/>
      <c r="AN88" s="243"/>
      <c r="AO88" s="243">
        <v>0.4231534303652968</v>
      </c>
    </row>
    <row r="89" spans="1:41" ht="12.75">
      <c r="A89" s="150" t="s">
        <v>283</v>
      </c>
      <c r="B89" s="244"/>
      <c r="C89" s="244"/>
      <c r="D89" s="244"/>
      <c r="E89" s="244"/>
      <c r="F89" s="244"/>
      <c r="G89" s="244"/>
      <c r="H89" s="244"/>
      <c r="I89" s="244"/>
      <c r="J89" s="244"/>
      <c r="K89" s="244"/>
      <c r="L89" s="244"/>
      <c r="M89" s="244">
        <f>AA89/(365*24)</f>
        <v>39.08748358996565</v>
      </c>
      <c r="O89" s="150" t="s">
        <v>283</v>
      </c>
      <c r="P89" s="151"/>
      <c r="Q89" s="151"/>
      <c r="R89" s="151"/>
      <c r="S89" s="151"/>
      <c r="T89" s="151"/>
      <c r="U89" s="151"/>
      <c r="V89" s="151"/>
      <c r="W89" s="151"/>
      <c r="X89" s="151"/>
      <c r="Y89" s="151"/>
      <c r="Z89" s="151"/>
      <c r="AA89" s="151">
        <v>342406.3562480991</v>
      </c>
      <c r="AC89" s="150" t="s">
        <v>283</v>
      </c>
      <c r="AD89" s="244"/>
      <c r="AE89" s="244"/>
      <c r="AF89" s="244"/>
      <c r="AG89" s="244"/>
      <c r="AH89" s="244"/>
      <c r="AI89" s="244"/>
      <c r="AJ89" s="244"/>
      <c r="AK89" s="244"/>
      <c r="AL89" s="244"/>
      <c r="AM89" s="244"/>
      <c r="AN89" s="244"/>
      <c r="AO89" s="244">
        <v>39.08748358996565</v>
      </c>
    </row>
    <row r="90" spans="1:41" ht="12.75">
      <c r="A90" s="147" t="s">
        <v>284</v>
      </c>
      <c r="B90" s="243"/>
      <c r="C90" s="243"/>
      <c r="D90" s="243"/>
      <c r="E90" s="243"/>
      <c r="F90" s="243"/>
      <c r="G90" s="243"/>
      <c r="H90" s="243"/>
      <c r="I90" s="243"/>
      <c r="J90" s="243"/>
      <c r="K90" s="243"/>
      <c r="L90" s="243"/>
      <c r="M90" s="243"/>
      <c r="O90" s="147" t="s">
        <v>284</v>
      </c>
      <c r="P90" s="148"/>
      <c r="Q90" s="148"/>
      <c r="R90" s="148"/>
      <c r="S90" s="148"/>
      <c r="T90" s="148"/>
      <c r="U90" s="148"/>
      <c r="V90" s="148"/>
      <c r="W90" s="148"/>
      <c r="X90" s="148"/>
      <c r="Y90" s="148"/>
      <c r="Z90" s="148"/>
      <c r="AA90" s="148"/>
      <c r="AC90" s="147" t="s">
        <v>347</v>
      </c>
      <c r="AD90" s="243"/>
      <c r="AE90" s="243"/>
      <c r="AF90" s="243"/>
      <c r="AG90" s="243"/>
      <c r="AH90" s="243"/>
      <c r="AI90" s="243"/>
      <c r="AJ90" s="243"/>
      <c r="AK90" s="243"/>
      <c r="AL90" s="243"/>
      <c r="AM90" s="243"/>
      <c r="AN90" s="243"/>
      <c r="AO90" s="243"/>
    </row>
    <row r="91" spans="1:41" ht="12.75">
      <c r="A91" s="149" t="s">
        <v>278</v>
      </c>
      <c r="B91" s="243">
        <f aca="true" t="shared" si="22" ref="B91:K94">P91/(365*24)</f>
        <v>1.2790521923696208</v>
      </c>
      <c r="C91" s="243">
        <f t="shared" si="22"/>
        <v>0.6669067632668958</v>
      </c>
      <c r="D91" s="243">
        <f t="shared" si="22"/>
        <v>4.292577397260274</v>
      </c>
      <c r="E91" s="243">
        <f t="shared" si="22"/>
        <v>0</v>
      </c>
      <c r="F91" s="243">
        <f t="shared" si="22"/>
        <v>3.355615470522495</v>
      </c>
      <c r="G91" s="243">
        <f t="shared" si="22"/>
        <v>2.7520972115880005</v>
      </c>
      <c r="H91" s="243">
        <f t="shared" si="22"/>
        <v>12.346249035007286</v>
      </c>
      <c r="I91" s="243">
        <f t="shared" si="22"/>
        <v>0</v>
      </c>
      <c r="J91" s="243">
        <f t="shared" si="22"/>
        <v>0.11047488584474886</v>
      </c>
      <c r="K91" s="243">
        <f t="shared" si="22"/>
        <v>0</v>
      </c>
      <c r="L91" s="243">
        <f aca="true" t="shared" si="23" ref="L91:M94">Z91/(365*24)</f>
        <v>0.3328995433789954</v>
      </c>
      <c r="M91" s="243">
        <f t="shared" si="23"/>
        <v>12.78962346423103</v>
      </c>
      <c r="O91" s="149" t="s">
        <v>278</v>
      </c>
      <c r="P91" s="148">
        <v>11204.497205157877</v>
      </c>
      <c r="Q91" s="148">
        <v>5842.103246218007</v>
      </c>
      <c r="R91" s="148">
        <v>37602.978</v>
      </c>
      <c r="S91" s="148">
        <v>0</v>
      </c>
      <c r="T91" s="148">
        <v>29395.191521777055</v>
      </c>
      <c r="U91" s="148">
        <v>24108.371573510885</v>
      </c>
      <c r="V91" s="148">
        <v>108153.14154666383</v>
      </c>
      <c r="W91" s="148"/>
      <c r="X91" s="148">
        <v>967.76</v>
      </c>
      <c r="Y91" s="148">
        <v>0</v>
      </c>
      <c r="Z91" s="148">
        <v>2916.2</v>
      </c>
      <c r="AA91" s="148">
        <v>112037.10154666382</v>
      </c>
      <c r="AC91" s="149" t="s">
        <v>278</v>
      </c>
      <c r="AD91" s="243">
        <v>1.2790521923696208</v>
      </c>
      <c r="AE91" s="243">
        <v>0.6669067632668958</v>
      </c>
      <c r="AF91" s="243">
        <v>4.292577397260274</v>
      </c>
      <c r="AG91" s="243">
        <v>0</v>
      </c>
      <c r="AH91" s="243">
        <v>3.355615470522495</v>
      </c>
      <c r="AI91" s="243">
        <v>2.7520972115880005</v>
      </c>
      <c r="AJ91" s="243">
        <v>12.346249035007286</v>
      </c>
      <c r="AK91" s="243">
        <v>0</v>
      </c>
      <c r="AL91" s="243">
        <v>0.11047488584474886</v>
      </c>
      <c r="AM91" s="243">
        <v>0</v>
      </c>
      <c r="AN91" s="243">
        <v>0.3328995433789954</v>
      </c>
      <c r="AO91" s="243">
        <v>12.78962346423103</v>
      </c>
    </row>
    <row r="92" spans="1:41" ht="12.75">
      <c r="A92" s="149" t="s">
        <v>285</v>
      </c>
      <c r="B92" s="243">
        <f t="shared" si="22"/>
        <v>0.45935810502283103</v>
      </c>
      <c r="C92" s="243">
        <f t="shared" si="22"/>
        <v>0.3084286982505233</v>
      </c>
      <c r="D92" s="243">
        <f t="shared" si="22"/>
        <v>1.797622374429224</v>
      </c>
      <c r="E92" s="243">
        <f t="shared" si="22"/>
        <v>0</v>
      </c>
      <c r="F92" s="243">
        <f t="shared" si="22"/>
        <v>0.7847623287671236</v>
      </c>
      <c r="G92" s="243">
        <f t="shared" si="22"/>
        <v>0.5609517812015314</v>
      </c>
      <c r="H92" s="243">
        <f t="shared" si="22"/>
        <v>3.911123287671233</v>
      </c>
      <c r="I92" s="243">
        <f t="shared" si="22"/>
        <v>0</v>
      </c>
      <c r="J92" s="243">
        <f t="shared" si="22"/>
        <v>0.11047488584474886</v>
      </c>
      <c r="K92" s="243">
        <f t="shared" si="22"/>
        <v>0</v>
      </c>
      <c r="L92" s="243">
        <f t="shared" si="23"/>
        <v>0.3328995433789954</v>
      </c>
      <c r="M92" s="243">
        <f t="shared" si="23"/>
        <v>4.354497716894977</v>
      </c>
      <c r="O92" s="149" t="s">
        <v>285</v>
      </c>
      <c r="P92" s="148">
        <v>4023.977</v>
      </c>
      <c r="Q92" s="148">
        <v>2701.8353966745844</v>
      </c>
      <c r="R92" s="148">
        <v>15747.172</v>
      </c>
      <c r="S92" s="148">
        <v>0</v>
      </c>
      <c r="T92" s="148">
        <v>6874.518000000003</v>
      </c>
      <c r="U92" s="148">
        <v>4913.937603325416</v>
      </c>
      <c r="V92" s="148">
        <v>34261.44</v>
      </c>
      <c r="W92" s="148"/>
      <c r="X92" s="148">
        <v>967.76</v>
      </c>
      <c r="Y92" s="148">
        <v>0</v>
      </c>
      <c r="Z92" s="148">
        <v>2916.2</v>
      </c>
      <c r="AA92" s="148">
        <v>38145.4</v>
      </c>
      <c r="AC92" s="149" t="s">
        <v>285</v>
      </c>
      <c r="AD92" s="243">
        <v>0.45935810502283103</v>
      </c>
      <c r="AE92" s="243">
        <v>0.3084286982505233</v>
      </c>
      <c r="AF92" s="243">
        <v>1.797622374429224</v>
      </c>
      <c r="AG92" s="243">
        <v>0</v>
      </c>
      <c r="AH92" s="243">
        <v>0.7847623287671236</v>
      </c>
      <c r="AI92" s="243">
        <v>0.5609517812015314</v>
      </c>
      <c r="AJ92" s="243">
        <v>3.911123287671233</v>
      </c>
      <c r="AK92" s="243">
        <v>0</v>
      </c>
      <c r="AL92" s="243">
        <v>0.11047488584474886</v>
      </c>
      <c r="AM92" s="243">
        <v>0</v>
      </c>
      <c r="AN92" s="243">
        <v>0.3328995433789954</v>
      </c>
      <c r="AO92" s="243">
        <v>4.354497716894977</v>
      </c>
    </row>
    <row r="93" spans="1:41" ht="12.75">
      <c r="A93" s="149" t="s">
        <v>280</v>
      </c>
      <c r="B93" s="245">
        <f t="shared" si="22"/>
        <v>0.02437813150684931</v>
      </c>
      <c r="C93" s="245">
        <f t="shared" si="22"/>
        <v>0.0209271430769314</v>
      </c>
      <c r="D93" s="245">
        <f t="shared" si="22"/>
        <v>0.05571218184931526</v>
      </c>
      <c r="E93" s="243">
        <f t="shared" si="22"/>
        <v>0</v>
      </c>
      <c r="F93" s="245">
        <f t="shared" si="22"/>
        <v>0.05400633080211738</v>
      </c>
      <c r="G93" s="245">
        <f t="shared" si="22"/>
        <v>0.021948175314265867</v>
      </c>
      <c r="H93" s="245">
        <f t="shared" si="22"/>
        <v>0.17697196254947892</v>
      </c>
      <c r="I93" s="245">
        <f t="shared" si="22"/>
        <v>0</v>
      </c>
      <c r="J93" s="245">
        <f t="shared" si="22"/>
        <v>0.0018406392694063824</v>
      </c>
      <c r="K93" s="243">
        <f t="shared" si="22"/>
        <v>0</v>
      </c>
      <c r="L93" s="243">
        <f t="shared" si="23"/>
        <v>0</v>
      </c>
      <c r="M93" s="245">
        <f t="shared" si="23"/>
        <v>0.17881260181888528</v>
      </c>
      <c r="O93" s="149" t="s">
        <v>280</v>
      </c>
      <c r="P93" s="152">
        <v>213.55243199999995</v>
      </c>
      <c r="Q93" s="152">
        <v>183.32177335391907</v>
      </c>
      <c r="R93" s="152">
        <v>488.03871300000174</v>
      </c>
      <c r="S93" s="148">
        <v>0</v>
      </c>
      <c r="T93" s="152">
        <v>473.0954578265482</v>
      </c>
      <c r="U93" s="152">
        <v>192.266015752969</v>
      </c>
      <c r="V93" s="152">
        <v>1550.2743919334353</v>
      </c>
      <c r="W93" s="152"/>
      <c r="X93" s="152">
        <v>16.12399999999991</v>
      </c>
      <c r="Y93" s="148">
        <v>0</v>
      </c>
      <c r="Z93" s="148">
        <v>0</v>
      </c>
      <c r="AA93" s="152">
        <v>1566.398391933435</v>
      </c>
      <c r="AC93" s="149" t="s">
        <v>280</v>
      </c>
      <c r="AD93" s="245">
        <v>0.02437813150684931</v>
      </c>
      <c r="AE93" s="245">
        <v>0.0209271430769314</v>
      </c>
      <c r="AF93" s="245">
        <v>0.05571218184931526</v>
      </c>
      <c r="AG93" s="243">
        <v>0</v>
      </c>
      <c r="AH93" s="245">
        <v>0.05400633080211738</v>
      </c>
      <c r="AI93" s="245">
        <v>0.021948175314265867</v>
      </c>
      <c r="AJ93" s="245">
        <v>0.17697196254947892</v>
      </c>
      <c r="AK93" s="245">
        <v>0</v>
      </c>
      <c r="AL93" s="245">
        <v>0.0018406392694063824</v>
      </c>
      <c r="AM93" s="243">
        <v>0</v>
      </c>
      <c r="AN93" s="243">
        <v>0</v>
      </c>
      <c r="AO93" s="245">
        <v>0.17881260181888528</v>
      </c>
    </row>
    <row r="94" spans="1:41" ht="12.75">
      <c r="A94" s="150" t="s">
        <v>286</v>
      </c>
      <c r="B94" s="244">
        <f t="shared" si="22"/>
        <v>0.4349799735159817</v>
      </c>
      <c r="C94" s="244">
        <f t="shared" si="22"/>
        <v>0.28750155517359194</v>
      </c>
      <c r="D94" s="244">
        <f t="shared" si="22"/>
        <v>1.7419101925799085</v>
      </c>
      <c r="E94" s="244">
        <f t="shared" si="22"/>
        <v>0</v>
      </c>
      <c r="F94" s="244">
        <f t="shared" si="22"/>
        <v>0.7307559979650062</v>
      </c>
      <c r="G94" s="244">
        <f t="shared" si="22"/>
        <v>0.5390036058872656</v>
      </c>
      <c r="H94" s="244">
        <f t="shared" si="22"/>
        <v>3.734151325121754</v>
      </c>
      <c r="I94" s="244">
        <f t="shared" si="22"/>
        <v>0</v>
      </c>
      <c r="J94" s="244">
        <f t="shared" si="22"/>
        <v>0.10863424657534247</v>
      </c>
      <c r="K94" s="244">
        <f t="shared" si="22"/>
        <v>0</v>
      </c>
      <c r="L94" s="244">
        <f t="shared" si="23"/>
        <v>0.3328995433789954</v>
      </c>
      <c r="M94" s="244">
        <f t="shared" si="23"/>
        <v>4.175685115076092</v>
      </c>
      <c r="O94" s="150" t="s">
        <v>286</v>
      </c>
      <c r="P94" s="151">
        <v>3810.424568</v>
      </c>
      <c r="Q94" s="151">
        <v>2518.5136233206654</v>
      </c>
      <c r="R94" s="151">
        <v>15259.133286999999</v>
      </c>
      <c r="S94" s="151">
        <v>0</v>
      </c>
      <c r="T94" s="151">
        <v>6401.4225421734545</v>
      </c>
      <c r="U94" s="151">
        <v>4721.671587572447</v>
      </c>
      <c r="V94" s="151">
        <v>32711.165608066567</v>
      </c>
      <c r="W94" s="151"/>
      <c r="X94" s="151">
        <v>951.6360000000001</v>
      </c>
      <c r="Y94" s="151">
        <v>0</v>
      </c>
      <c r="Z94" s="151">
        <v>2916.2</v>
      </c>
      <c r="AA94" s="151">
        <v>36579.00160806657</v>
      </c>
      <c r="AC94" s="150" t="s">
        <v>286</v>
      </c>
      <c r="AD94" s="244">
        <v>0.4349799735159817</v>
      </c>
      <c r="AE94" s="244">
        <v>0.28750155517359194</v>
      </c>
      <c r="AF94" s="244">
        <v>1.7419101925799085</v>
      </c>
      <c r="AG94" s="244">
        <v>0</v>
      </c>
      <c r="AH94" s="244">
        <v>0.7307559979650062</v>
      </c>
      <c r="AI94" s="244">
        <v>0.5390036058872656</v>
      </c>
      <c r="AJ94" s="244">
        <v>3.734151325121754</v>
      </c>
      <c r="AK94" s="244">
        <v>0</v>
      </c>
      <c r="AL94" s="244">
        <v>0.10863424657534247</v>
      </c>
      <c r="AM94" s="244">
        <v>0</v>
      </c>
      <c r="AN94" s="244">
        <v>0.3328995433789954</v>
      </c>
      <c r="AO94" s="244">
        <v>4.175685115076092</v>
      </c>
    </row>
    <row r="95" spans="1:41" ht="12.75">
      <c r="A95" s="147" t="s">
        <v>287</v>
      </c>
      <c r="B95" s="243"/>
      <c r="C95" s="243"/>
      <c r="D95" s="243"/>
      <c r="E95" s="243"/>
      <c r="F95" s="243"/>
      <c r="G95" s="243"/>
      <c r="H95" s="243"/>
      <c r="I95" s="243"/>
      <c r="J95" s="243"/>
      <c r="K95" s="243"/>
      <c r="L95" s="243"/>
      <c r="M95" s="243"/>
      <c r="O95" s="147" t="s">
        <v>287</v>
      </c>
      <c r="P95" s="148"/>
      <c r="Q95" s="148"/>
      <c r="R95" s="148"/>
      <c r="S95" s="148"/>
      <c r="T95" s="148"/>
      <c r="U95" s="148"/>
      <c r="V95" s="148"/>
      <c r="W95" s="148"/>
      <c r="X95" s="148"/>
      <c r="Y95" s="148"/>
      <c r="Z95" s="148"/>
      <c r="AA95" s="148"/>
      <c r="AC95" s="147" t="s">
        <v>287</v>
      </c>
      <c r="AD95" s="243"/>
      <c r="AE95" s="243"/>
      <c r="AF95" s="243"/>
      <c r="AG95" s="243"/>
      <c r="AH95" s="243"/>
      <c r="AI95" s="243"/>
      <c r="AJ95" s="243"/>
      <c r="AK95" s="243"/>
      <c r="AL95" s="243"/>
      <c r="AM95" s="243"/>
      <c r="AN95" s="243"/>
      <c r="AO95" s="243"/>
    </row>
    <row r="96" spans="1:41" ht="12.75">
      <c r="A96" s="149" t="s">
        <v>288</v>
      </c>
      <c r="B96" s="243">
        <f aca="true" t="shared" si="24" ref="B96:K99">P96/(365*24)</f>
        <v>43.29289073298688</v>
      </c>
      <c r="C96" s="243">
        <f t="shared" si="24"/>
        <v>1.7648531102988592</v>
      </c>
      <c r="D96" s="243">
        <f t="shared" si="24"/>
        <v>38.04175940053438</v>
      </c>
      <c r="E96" s="243">
        <f t="shared" si="24"/>
        <v>24.39054119856761</v>
      </c>
      <c r="F96" s="243">
        <f t="shared" si="24"/>
        <v>4.441850845937212</v>
      </c>
      <c r="G96" s="243">
        <f t="shared" si="24"/>
        <v>2.7520972115880005</v>
      </c>
      <c r="H96" s="243">
        <f t="shared" si="24"/>
        <v>114.68399249991295</v>
      </c>
      <c r="I96" s="243">
        <f t="shared" si="24"/>
        <v>0</v>
      </c>
      <c r="J96" s="243">
        <f t="shared" si="24"/>
        <v>0.5663086757990868</v>
      </c>
      <c r="K96" s="243">
        <f t="shared" si="24"/>
        <v>0.3344473125</v>
      </c>
      <c r="L96" s="243">
        <f aca="true" t="shared" si="25" ref="L96:M99">Z96/(365*24)</f>
        <v>0.3328995433789954</v>
      </c>
      <c r="M96" s="243">
        <f t="shared" si="25"/>
        <v>115.91764803159103</v>
      </c>
      <c r="O96" s="149" t="s">
        <v>288</v>
      </c>
      <c r="P96" s="148">
        <v>379245.7228209651</v>
      </c>
      <c r="Q96" s="148">
        <v>15460.113246218007</v>
      </c>
      <c r="R96" s="148">
        <v>333245.81234868115</v>
      </c>
      <c r="S96" s="148">
        <v>213661.14089945226</v>
      </c>
      <c r="T96" s="148">
        <v>38910.61341040998</v>
      </c>
      <c r="U96" s="148">
        <v>24108.371573510885</v>
      </c>
      <c r="V96" s="148">
        <v>1004631.7742992374</v>
      </c>
      <c r="W96" s="148"/>
      <c r="X96" s="148">
        <v>4960.8640000000005</v>
      </c>
      <c r="Y96" s="148">
        <v>2929.7584574999996</v>
      </c>
      <c r="Z96" s="148">
        <v>2916.2</v>
      </c>
      <c r="AA96" s="148">
        <v>1015438.5967567374</v>
      </c>
      <c r="AC96" s="149" t="s">
        <v>288</v>
      </c>
      <c r="AD96" s="243">
        <v>43.29289073298688</v>
      </c>
      <c r="AE96" s="243">
        <v>1.7648531102988592</v>
      </c>
      <c r="AF96" s="243">
        <v>38.04175940053438</v>
      </c>
      <c r="AG96" s="243">
        <v>24.39054119856761</v>
      </c>
      <c r="AH96" s="243">
        <v>4.441850845937212</v>
      </c>
      <c r="AI96" s="243">
        <v>2.7520972115880005</v>
      </c>
      <c r="AJ96" s="243">
        <v>114.68399249991295</v>
      </c>
      <c r="AK96" s="243">
        <v>0</v>
      </c>
      <c r="AL96" s="243">
        <v>0.5663086757990868</v>
      </c>
      <c r="AM96" s="243">
        <v>0.3344473125</v>
      </c>
      <c r="AN96" s="243">
        <v>0.3328995433789954</v>
      </c>
      <c r="AO96" s="243">
        <v>115.91764803159103</v>
      </c>
    </row>
    <row r="97" spans="1:41" ht="12.75">
      <c r="A97" s="149" t="s">
        <v>285</v>
      </c>
      <c r="B97" s="243">
        <f t="shared" si="24"/>
        <v>15.401609820383884</v>
      </c>
      <c r="C97" s="243">
        <f t="shared" si="24"/>
        <v>0.6184641018417084</v>
      </c>
      <c r="D97" s="243">
        <f t="shared" si="24"/>
        <v>17.491999329115977</v>
      </c>
      <c r="E97" s="243">
        <f t="shared" si="24"/>
        <v>9.317135027753425</v>
      </c>
      <c r="F97" s="243">
        <f t="shared" si="24"/>
        <v>1.0981863013698634</v>
      </c>
      <c r="G97" s="243">
        <f t="shared" si="24"/>
        <v>0.5609517812015314</v>
      </c>
      <c r="H97" s="243">
        <f t="shared" si="24"/>
        <v>44.488346361666395</v>
      </c>
      <c r="I97" s="243">
        <f t="shared" si="24"/>
        <v>0</v>
      </c>
      <c r="J97" s="243">
        <f t="shared" si="24"/>
        <v>0.5663086757990868</v>
      </c>
      <c r="K97" s="243">
        <f t="shared" si="24"/>
        <v>0.3344473125</v>
      </c>
      <c r="L97" s="243">
        <f t="shared" si="25"/>
        <v>0.3328995433789954</v>
      </c>
      <c r="M97" s="243">
        <f t="shared" si="25"/>
        <v>45.722001893344476</v>
      </c>
      <c r="O97" s="149" t="s">
        <v>285</v>
      </c>
      <c r="P97" s="148">
        <v>134918.10202656282</v>
      </c>
      <c r="Q97" s="148">
        <v>5417.7455321333655</v>
      </c>
      <c r="R97" s="148">
        <v>153229.91412305596</v>
      </c>
      <c r="S97" s="148">
        <v>81618.10284312</v>
      </c>
      <c r="T97" s="148">
        <v>9620.112000000003</v>
      </c>
      <c r="U97" s="148">
        <v>4913.937603325416</v>
      </c>
      <c r="V97" s="148">
        <v>389717.9141281976</v>
      </c>
      <c r="W97" s="148"/>
      <c r="X97" s="148">
        <v>4960.8640000000005</v>
      </c>
      <c r="Y97" s="148">
        <v>2929.7584574999996</v>
      </c>
      <c r="Z97" s="148">
        <v>2916.2</v>
      </c>
      <c r="AA97" s="148">
        <v>400524.7365856976</v>
      </c>
      <c r="AC97" s="149" t="s">
        <v>285</v>
      </c>
      <c r="AD97" s="243">
        <v>15.401609820383884</v>
      </c>
      <c r="AE97" s="243">
        <v>0.6184641018417084</v>
      </c>
      <c r="AF97" s="243">
        <v>17.491999329115977</v>
      </c>
      <c r="AG97" s="243">
        <v>9.317135027753425</v>
      </c>
      <c r="AH97" s="243">
        <v>1.0981863013698634</v>
      </c>
      <c r="AI97" s="243">
        <v>0.5609517812015314</v>
      </c>
      <c r="AJ97" s="243">
        <v>44.488346361666395</v>
      </c>
      <c r="AK97" s="243">
        <v>0</v>
      </c>
      <c r="AL97" s="243">
        <v>0.5663086757990868</v>
      </c>
      <c r="AM97" s="243">
        <v>0.3344473125</v>
      </c>
      <c r="AN97" s="243">
        <v>0.3328995433789954</v>
      </c>
      <c r="AO97" s="243">
        <v>45.722001893344476</v>
      </c>
    </row>
    <row r="98" spans="1:41" ht="12.75">
      <c r="A98" s="149" t="s">
        <v>280</v>
      </c>
      <c r="B98" s="243">
        <f t="shared" si="24"/>
        <v>0.7135971840704928</v>
      </c>
      <c r="C98" s="243">
        <f t="shared" si="24"/>
        <v>0.07925079814081167</v>
      </c>
      <c r="D98" s="243">
        <f t="shared" si="24"/>
        <v>0.39344218436711936</v>
      </c>
      <c r="E98" s="243">
        <f t="shared" si="24"/>
        <v>0.7357665346027392</v>
      </c>
      <c r="F98" s="243">
        <f t="shared" si="24"/>
        <v>0.07155567396482561</v>
      </c>
      <c r="G98" s="243">
        <f t="shared" si="24"/>
        <v>0.021948175314265867</v>
      </c>
      <c r="H98" s="243">
        <f t="shared" si="24"/>
        <v>2.0155605504602603</v>
      </c>
      <c r="I98" s="243">
        <f t="shared" si="24"/>
        <v>0</v>
      </c>
      <c r="J98" s="243">
        <f t="shared" si="24"/>
        <v>0.002592728310502312</v>
      </c>
      <c r="K98" s="243">
        <f t="shared" si="24"/>
        <v>0.01752647916666665</v>
      </c>
      <c r="L98" s="243">
        <f t="shared" si="25"/>
        <v>0</v>
      </c>
      <c r="M98" s="243">
        <f t="shared" si="25"/>
        <v>2.0356797579374293</v>
      </c>
      <c r="O98" s="149" t="s">
        <v>280</v>
      </c>
      <c r="P98" s="148">
        <v>6251.111332457516</v>
      </c>
      <c r="Q98" s="148">
        <v>694.2369917135102</v>
      </c>
      <c r="R98" s="148">
        <v>3446.5535350559658</v>
      </c>
      <c r="S98" s="148">
        <v>6445.314843119995</v>
      </c>
      <c r="T98" s="148">
        <v>626.8277039318723</v>
      </c>
      <c r="U98" s="148">
        <v>192.266015752969</v>
      </c>
      <c r="V98" s="148">
        <v>17656.310422031882</v>
      </c>
      <c r="W98" s="148"/>
      <c r="X98" s="148">
        <v>22.712300000000255</v>
      </c>
      <c r="Y98" s="148">
        <v>153.53195749999986</v>
      </c>
      <c r="Z98" s="148">
        <v>0</v>
      </c>
      <c r="AA98" s="148">
        <v>17832.55467953188</v>
      </c>
      <c r="AC98" s="149" t="s">
        <v>280</v>
      </c>
      <c r="AD98" s="243">
        <v>0.7135971840704928</v>
      </c>
      <c r="AE98" s="243">
        <v>0.07925079814081167</v>
      </c>
      <c r="AF98" s="243">
        <v>0.39344218436711936</v>
      </c>
      <c r="AG98" s="243">
        <v>0.7357665346027392</v>
      </c>
      <c r="AH98" s="243">
        <v>0.07155567396482561</v>
      </c>
      <c r="AI98" s="243">
        <v>0.021948175314265867</v>
      </c>
      <c r="AJ98" s="243">
        <v>2.0155605504602603</v>
      </c>
      <c r="AK98" s="243">
        <v>0</v>
      </c>
      <c r="AL98" s="243">
        <v>0.002592728310502312</v>
      </c>
      <c r="AM98" s="243">
        <v>0.01752647916666665</v>
      </c>
      <c r="AN98" s="243">
        <v>0</v>
      </c>
      <c r="AO98" s="243">
        <v>2.0356797579374293</v>
      </c>
    </row>
    <row r="99" spans="1:41" ht="12.75">
      <c r="A99" s="149" t="s">
        <v>281</v>
      </c>
      <c r="B99" s="243">
        <f t="shared" si="24"/>
        <v>14.688012636313392</v>
      </c>
      <c r="C99" s="243">
        <f t="shared" si="24"/>
        <v>0.5392133037008966</v>
      </c>
      <c r="D99" s="243">
        <f t="shared" si="24"/>
        <v>17.09855714474886</v>
      </c>
      <c r="E99" s="243">
        <f t="shared" si="24"/>
        <v>8.581368493150684</v>
      </c>
      <c r="F99" s="243">
        <f t="shared" si="24"/>
        <v>1.0266306274050376</v>
      </c>
      <c r="G99" s="243">
        <f t="shared" si="24"/>
        <v>0.5390036058872656</v>
      </c>
      <c r="H99" s="243">
        <f t="shared" si="24"/>
        <v>42.47278581120613</v>
      </c>
      <c r="I99" s="243">
        <f t="shared" si="24"/>
        <v>0</v>
      </c>
      <c r="J99" s="243">
        <f t="shared" si="24"/>
        <v>0.5637159474885846</v>
      </c>
      <c r="K99" s="243">
        <f t="shared" si="24"/>
        <v>0.3169208333333333</v>
      </c>
      <c r="L99" s="243">
        <f t="shared" si="25"/>
        <v>0.3328995433789954</v>
      </c>
      <c r="M99" s="243">
        <f t="shared" si="25"/>
        <v>43.68632213540704</v>
      </c>
      <c r="O99" s="149" t="s">
        <v>281</v>
      </c>
      <c r="P99" s="148">
        <v>128666.9906941053</v>
      </c>
      <c r="Q99" s="148">
        <v>4723.508540419854</v>
      </c>
      <c r="R99" s="148">
        <v>149783.360588</v>
      </c>
      <c r="S99" s="148">
        <v>75172.788</v>
      </c>
      <c r="T99" s="148">
        <v>8993.28429606813</v>
      </c>
      <c r="U99" s="148">
        <v>4721.671587572447</v>
      </c>
      <c r="V99" s="148">
        <v>372061.6037061657</v>
      </c>
      <c r="W99" s="148"/>
      <c r="X99" s="148">
        <v>4938.1517</v>
      </c>
      <c r="Y99" s="148">
        <v>2776.2264999999998</v>
      </c>
      <c r="Z99" s="148">
        <v>2916.2</v>
      </c>
      <c r="AA99" s="148">
        <v>382692.1819061657</v>
      </c>
      <c r="AC99" s="149" t="s">
        <v>281</v>
      </c>
      <c r="AD99" s="243">
        <v>14.688012636313392</v>
      </c>
      <c r="AE99" s="243">
        <v>0.5392133037008966</v>
      </c>
      <c r="AF99" s="243">
        <v>17.09855714474886</v>
      </c>
      <c r="AG99" s="243">
        <v>8.581368493150684</v>
      </c>
      <c r="AH99" s="243">
        <v>1.0266306274050376</v>
      </c>
      <c r="AI99" s="243">
        <v>0.5390036058872656</v>
      </c>
      <c r="AJ99" s="243">
        <v>42.47278581120613</v>
      </c>
      <c r="AK99" s="243">
        <v>0</v>
      </c>
      <c r="AL99" s="243">
        <v>0.5637159474885846</v>
      </c>
      <c r="AM99" s="243">
        <v>0.3169208333333333</v>
      </c>
      <c r="AN99" s="243">
        <v>0.3328995433789954</v>
      </c>
      <c r="AO99" s="243">
        <v>43.68632213540704</v>
      </c>
    </row>
    <row r="100" spans="1:41" ht="12.75">
      <c r="A100" s="149" t="s">
        <v>282</v>
      </c>
      <c r="B100" s="243"/>
      <c r="C100" s="243"/>
      <c r="D100" s="243"/>
      <c r="E100" s="243"/>
      <c r="F100" s="243"/>
      <c r="G100" s="243"/>
      <c r="H100" s="243"/>
      <c r="I100" s="243"/>
      <c r="J100" s="243"/>
      <c r="K100" s="243"/>
      <c r="L100" s="243"/>
      <c r="M100" s="243">
        <f>AA100/(365*24)</f>
        <v>0.4231534303652968</v>
      </c>
      <c r="O100" s="149" t="s">
        <v>282</v>
      </c>
      <c r="P100" s="148"/>
      <c r="Q100" s="148"/>
      <c r="R100" s="148"/>
      <c r="S100" s="148"/>
      <c r="T100" s="148"/>
      <c r="U100" s="148"/>
      <c r="V100" s="148"/>
      <c r="W100" s="148"/>
      <c r="X100" s="148"/>
      <c r="Y100" s="148"/>
      <c r="Z100" s="148"/>
      <c r="AA100" s="148">
        <v>3706.8240499999997</v>
      </c>
      <c r="AC100" s="149" t="s">
        <v>282</v>
      </c>
      <c r="AD100" s="243"/>
      <c r="AE100" s="243"/>
      <c r="AF100" s="243"/>
      <c r="AG100" s="243"/>
      <c r="AH100" s="243"/>
      <c r="AI100" s="243"/>
      <c r="AJ100" s="243"/>
      <c r="AK100" s="243"/>
      <c r="AL100" s="243"/>
      <c r="AM100" s="243"/>
      <c r="AN100" s="243"/>
      <c r="AO100" s="243">
        <v>0.4231534303652968</v>
      </c>
    </row>
    <row r="101" spans="1:41" ht="13.5" thickBot="1">
      <c r="A101" s="153" t="s">
        <v>283</v>
      </c>
      <c r="B101" s="246"/>
      <c r="C101" s="246"/>
      <c r="D101" s="246"/>
      <c r="E101" s="246"/>
      <c r="F101" s="246"/>
      <c r="G101" s="246"/>
      <c r="H101" s="246"/>
      <c r="I101" s="246"/>
      <c r="J101" s="246"/>
      <c r="K101" s="246"/>
      <c r="L101" s="246"/>
      <c r="M101" s="246">
        <f>AA101/(365*24)</f>
        <v>43.26316870504174</v>
      </c>
      <c r="O101" s="153" t="s">
        <v>283</v>
      </c>
      <c r="P101" s="154"/>
      <c r="Q101" s="154"/>
      <c r="R101" s="154"/>
      <c r="S101" s="154"/>
      <c r="T101" s="154"/>
      <c r="U101" s="154"/>
      <c r="V101" s="154"/>
      <c r="W101" s="154"/>
      <c r="X101" s="154"/>
      <c r="Y101" s="154"/>
      <c r="Z101" s="154"/>
      <c r="AA101" s="154">
        <v>378985.3578561657</v>
      </c>
      <c r="AC101" s="153" t="s">
        <v>283</v>
      </c>
      <c r="AD101" s="246"/>
      <c r="AE101" s="246"/>
      <c r="AF101" s="246"/>
      <c r="AG101" s="246"/>
      <c r="AH101" s="246"/>
      <c r="AI101" s="246"/>
      <c r="AJ101" s="246"/>
      <c r="AK101" s="246"/>
      <c r="AL101" s="246"/>
      <c r="AM101" s="246"/>
      <c r="AN101" s="246"/>
      <c r="AO101" s="246">
        <v>43.26316870504174</v>
      </c>
    </row>
    <row r="102" spans="1:41" ht="13.5" thickTop="1">
      <c r="A102" s="155"/>
      <c r="B102" s="156"/>
      <c r="C102" s="156"/>
      <c r="D102" s="156"/>
      <c r="E102" s="156"/>
      <c r="F102" s="156"/>
      <c r="G102" s="156"/>
      <c r="H102" s="156"/>
      <c r="I102" s="156"/>
      <c r="J102" s="156"/>
      <c r="K102" s="156"/>
      <c r="L102" s="156"/>
      <c r="M102" s="156"/>
      <c r="O102" s="155"/>
      <c r="P102" s="156"/>
      <c r="Q102" s="156"/>
      <c r="R102" s="156"/>
      <c r="S102" s="156"/>
      <c r="T102" s="156"/>
      <c r="U102" s="156"/>
      <c r="V102" s="156"/>
      <c r="W102" s="156"/>
      <c r="X102" s="156"/>
      <c r="Y102" s="156"/>
      <c r="Z102" s="156"/>
      <c r="AA102" s="156"/>
      <c r="AC102" s="155"/>
      <c r="AD102" s="156"/>
      <c r="AE102" s="156"/>
      <c r="AF102" s="156"/>
      <c r="AG102" s="156"/>
      <c r="AH102" s="156"/>
      <c r="AI102" s="156"/>
      <c r="AJ102" s="156"/>
      <c r="AK102" s="156"/>
      <c r="AL102" s="156"/>
      <c r="AM102" s="156"/>
      <c r="AN102" s="156"/>
      <c r="AO102" s="156"/>
    </row>
    <row r="103" spans="1:41" ht="13.5" thickBot="1">
      <c r="A103" s="157" t="s">
        <v>289</v>
      </c>
      <c r="B103" s="158"/>
      <c r="C103" s="709">
        <v>2005</v>
      </c>
      <c r="D103" s="709"/>
      <c r="E103" s="159"/>
      <c r="F103" s="159"/>
      <c r="G103" s="159"/>
      <c r="H103" s="159"/>
      <c r="I103" s="159"/>
      <c r="J103" s="159"/>
      <c r="K103" s="159"/>
      <c r="L103" s="159"/>
      <c r="M103" s="159"/>
      <c r="O103" s="157" t="s">
        <v>289</v>
      </c>
      <c r="P103" s="158"/>
      <c r="Q103" s="709">
        <v>2005</v>
      </c>
      <c r="R103" s="709"/>
      <c r="S103" s="159"/>
      <c r="T103" s="159"/>
      <c r="U103" s="159"/>
      <c r="V103" s="159"/>
      <c r="W103" s="159"/>
      <c r="X103" s="159"/>
      <c r="Y103" s="159"/>
      <c r="Z103" s="159"/>
      <c r="AA103" s="159"/>
      <c r="AC103" s="157" t="s">
        <v>289</v>
      </c>
      <c r="AD103" s="158"/>
      <c r="AE103" s="709">
        <v>2005</v>
      </c>
      <c r="AF103" s="709"/>
      <c r="AG103" s="159"/>
      <c r="AH103" s="159"/>
      <c r="AI103" s="159"/>
      <c r="AJ103" s="159"/>
      <c r="AK103" s="159"/>
      <c r="AL103" s="159"/>
      <c r="AM103" s="159"/>
      <c r="AN103" s="159"/>
      <c r="AO103" s="159"/>
    </row>
    <row r="104" spans="1:41" ht="13.5" thickTop="1">
      <c r="A104" s="160"/>
      <c r="B104" s="161"/>
      <c r="C104" s="162" t="s">
        <v>290</v>
      </c>
      <c r="D104" s="162" t="s">
        <v>291</v>
      </c>
      <c r="E104" s="163"/>
      <c r="F104" s="163"/>
      <c r="G104" s="163"/>
      <c r="H104" s="163"/>
      <c r="I104" s="163"/>
      <c r="J104" s="163"/>
      <c r="K104" s="163"/>
      <c r="L104" s="163"/>
      <c r="M104" s="163"/>
      <c r="O104" s="160"/>
      <c r="P104" s="161"/>
      <c r="Q104" s="162" t="s">
        <v>290</v>
      </c>
      <c r="R104" s="162" t="s">
        <v>291</v>
      </c>
      <c r="S104" s="163"/>
      <c r="T104" s="163"/>
      <c r="U104" s="163"/>
      <c r="V104" s="163"/>
      <c r="W104" s="163"/>
      <c r="X104" s="163"/>
      <c r="Y104" s="163"/>
      <c r="Z104" s="163"/>
      <c r="AA104" s="163"/>
      <c r="AC104" s="160"/>
      <c r="AD104" s="161"/>
      <c r="AE104" s="162" t="s">
        <v>290</v>
      </c>
      <c r="AF104" s="162" t="s">
        <v>291</v>
      </c>
      <c r="AG104" s="163"/>
      <c r="AH104" s="163"/>
      <c r="AI104" s="163"/>
      <c r="AJ104" s="163"/>
      <c r="AK104" s="163"/>
      <c r="AL104" s="163"/>
      <c r="AM104" s="163"/>
      <c r="AN104" s="163"/>
      <c r="AO104" s="163"/>
    </row>
    <row r="105" spans="1:41" ht="12.75">
      <c r="A105" s="160"/>
      <c r="B105" s="159"/>
      <c r="C105" s="162" t="s">
        <v>292</v>
      </c>
      <c r="D105" s="162"/>
      <c r="E105" s="159"/>
      <c r="F105" s="159"/>
      <c r="G105" s="159"/>
      <c r="H105" s="159"/>
      <c r="I105" s="159"/>
      <c r="J105" s="159"/>
      <c r="K105" s="159"/>
      <c r="L105" s="159"/>
      <c r="M105" s="159"/>
      <c r="O105" s="160"/>
      <c r="P105" s="159"/>
      <c r="Q105" s="162" t="s">
        <v>292</v>
      </c>
      <c r="R105" s="162"/>
      <c r="S105" s="159"/>
      <c r="T105" s="159"/>
      <c r="U105" s="159"/>
      <c r="V105" s="159"/>
      <c r="W105" s="159"/>
      <c r="X105" s="159"/>
      <c r="Y105" s="159"/>
      <c r="Z105" s="159"/>
      <c r="AA105" s="159"/>
      <c r="AC105" s="160"/>
      <c r="AD105" s="159"/>
      <c r="AE105" s="162" t="s">
        <v>292</v>
      </c>
      <c r="AF105" s="162"/>
      <c r="AG105" s="159"/>
      <c r="AH105" s="159"/>
      <c r="AI105" s="159"/>
      <c r="AJ105" s="159"/>
      <c r="AK105" s="159"/>
      <c r="AL105" s="159"/>
      <c r="AM105" s="159"/>
      <c r="AN105" s="159"/>
      <c r="AO105" s="159"/>
    </row>
    <row r="106" spans="1:41" ht="12.75">
      <c r="A106" s="160"/>
      <c r="B106" s="159"/>
      <c r="C106" s="162" t="s">
        <v>293</v>
      </c>
      <c r="D106" s="162"/>
      <c r="E106" s="159"/>
      <c r="F106" s="159"/>
      <c r="G106" s="159"/>
      <c r="H106" s="159"/>
      <c r="I106" s="159"/>
      <c r="J106" s="159"/>
      <c r="K106" s="159"/>
      <c r="L106" s="159"/>
      <c r="M106" s="159"/>
      <c r="O106" s="160"/>
      <c r="P106" s="159"/>
      <c r="Q106" s="162" t="s">
        <v>293</v>
      </c>
      <c r="R106" s="162"/>
      <c r="S106" s="159"/>
      <c r="T106" s="159"/>
      <c r="U106" s="159"/>
      <c r="V106" s="159"/>
      <c r="W106" s="159"/>
      <c r="X106" s="159"/>
      <c r="Y106" s="159"/>
      <c r="Z106" s="159"/>
      <c r="AA106" s="159"/>
      <c r="AC106" s="160"/>
      <c r="AD106" s="159"/>
      <c r="AE106" s="162" t="s">
        <v>293</v>
      </c>
      <c r="AF106" s="162"/>
      <c r="AG106" s="159"/>
      <c r="AH106" s="159"/>
      <c r="AI106" s="159"/>
      <c r="AJ106" s="159"/>
      <c r="AK106" s="159"/>
      <c r="AL106" s="159"/>
      <c r="AM106" s="159"/>
      <c r="AN106" s="159"/>
      <c r="AO106" s="159"/>
    </row>
    <row r="107" spans="1:41" ht="12.75">
      <c r="A107" s="164"/>
      <c r="B107" s="165"/>
      <c r="C107" s="166" t="s">
        <v>294</v>
      </c>
      <c r="D107" s="167"/>
      <c r="E107" s="163"/>
      <c r="F107" s="163"/>
      <c r="G107" s="163"/>
      <c r="H107" s="163"/>
      <c r="I107" s="163"/>
      <c r="J107" s="163"/>
      <c r="K107" s="163"/>
      <c r="L107" s="163"/>
      <c r="M107" s="163"/>
      <c r="O107" s="164"/>
      <c r="P107" s="165"/>
      <c r="Q107" s="166" t="s">
        <v>294</v>
      </c>
      <c r="R107" s="167"/>
      <c r="S107" s="163"/>
      <c r="T107" s="163"/>
      <c r="U107" s="163"/>
      <c r="V107" s="163"/>
      <c r="W107" s="163"/>
      <c r="X107" s="163"/>
      <c r="Y107" s="163"/>
      <c r="Z107" s="163"/>
      <c r="AA107" s="163"/>
      <c r="AC107" s="164"/>
      <c r="AD107" s="165"/>
      <c r="AE107" s="166" t="s">
        <v>294</v>
      </c>
      <c r="AF107" s="167"/>
      <c r="AG107" s="163"/>
      <c r="AH107" s="163"/>
      <c r="AI107" s="163"/>
      <c r="AJ107" s="163"/>
      <c r="AK107" s="163"/>
      <c r="AL107" s="163"/>
      <c r="AM107" s="163"/>
      <c r="AN107" s="163"/>
      <c r="AO107" s="163"/>
    </row>
    <row r="108" spans="1:41" ht="12.75">
      <c r="A108" s="168" t="s">
        <v>295</v>
      </c>
      <c r="B108" s="163"/>
      <c r="C108" s="169"/>
      <c r="D108" s="169"/>
      <c r="E108" s="159"/>
      <c r="F108" s="159"/>
      <c r="G108" s="159"/>
      <c r="H108" s="159"/>
      <c r="I108" s="159"/>
      <c r="J108" s="159"/>
      <c r="K108" s="159"/>
      <c r="L108" s="159"/>
      <c r="M108" s="159"/>
      <c r="O108" s="168" t="s">
        <v>295</v>
      </c>
      <c r="P108" s="163"/>
      <c r="Q108" s="169"/>
      <c r="R108" s="169"/>
      <c r="S108" s="159"/>
      <c r="T108" s="159"/>
      <c r="U108" s="159"/>
      <c r="V108" s="159"/>
      <c r="W108" s="159"/>
      <c r="X108" s="159"/>
      <c r="Y108" s="159"/>
      <c r="Z108" s="159"/>
      <c r="AA108" s="159"/>
      <c r="AC108" s="168" t="s">
        <v>346</v>
      </c>
      <c r="AD108" s="163"/>
      <c r="AE108" s="169"/>
      <c r="AF108" s="169"/>
      <c r="AG108" s="159"/>
      <c r="AH108" s="159"/>
      <c r="AI108" s="159"/>
      <c r="AJ108" s="159"/>
      <c r="AK108" s="159"/>
      <c r="AL108" s="159"/>
      <c r="AM108" s="159"/>
      <c r="AN108" s="159"/>
      <c r="AO108" s="159"/>
    </row>
    <row r="109" spans="1:41" ht="12.75">
      <c r="A109" s="149" t="s">
        <v>296</v>
      </c>
      <c r="B109" s="159"/>
      <c r="C109" s="170">
        <v>143149.3712850776</v>
      </c>
      <c r="D109" s="170">
        <v>130689</v>
      </c>
      <c r="E109" s="159"/>
      <c r="F109" s="159"/>
      <c r="G109" s="159"/>
      <c r="H109" s="159"/>
      <c r="I109" s="159"/>
      <c r="J109" s="159"/>
      <c r="K109" s="159"/>
      <c r="L109" s="159"/>
      <c r="M109" s="159"/>
      <c r="O109" s="149" t="s">
        <v>296</v>
      </c>
      <c r="P109" s="159"/>
      <c r="Q109" s="170">
        <v>143149.3712850776</v>
      </c>
      <c r="R109" s="170">
        <v>130689</v>
      </c>
      <c r="S109" s="159"/>
      <c r="T109" s="159"/>
      <c r="U109" s="159"/>
      <c r="V109" s="159"/>
      <c r="W109" s="159"/>
      <c r="X109" s="159"/>
      <c r="Y109" s="159"/>
      <c r="Z109" s="159"/>
      <c r="AA109" s="159"/>
      <c r="AC109" s="149" t="s">
        <v>296</v>
      </c>
      <c r="AD109" s="159"/>
      <c r="AE109" s="170">
        <v>143149.3712850776</v>
      </c>
      <c r="AF109" s="170">
        <v>130689</v>
      </c>
      <c r="AG109" s="159"/>
      <c r="AH109" s="159"/>
      <c r="AI109" s="159"/>
      <c r="AJ109" s="159"/>
      <c r="AK109" s="159"/>
      <c r="AL109" s="159"/>
      <c r="AM109" s="159"/>
      <c r="AN109" s="159"/>
      <c r="AO109" s="159"/>
    </row>
    <row r="110" spans="1:41" ht="12.75">
      <c r="A110" s="150" t="s">
        <v>281</v>
      </c>
      <c r="B110" s="165"/>
      <c r="C110" s="171">
        <v>135998.65009809914</v>
      </c>
      <c r="D110" s="171">
        <v>128179</v>
      </c>
      <c r="E110" s="163"/>
      <c r="F110" s="163"/>
      <c r="G110" s="163"/>
      <c r="H110" s="163"/>
      <c r="I110" s="163"/>
      <c r="J110" s="163"/>
      <c r="K110" s="163"/>
      <c r="L110" s="163"/>
      <c r="M110" s="163"/>
      <c r="O110" s="150" t="s">
        <v>281</v>
      </c>
      <c r="P110" s="165"/>
      <c r="Q110" s="171">
        <v>135998.65009809914</v>
      </c>
      <c r="R110" s="171">
        <v>128179</v>
      </c>
      <c r="S110" s="163"/>
      <c r="T110" s="163"/>
      <c r="U110" s="163"/>
      <c r="V110" s="163"/>
      <c r="W110" s="163"/>
      <c r="X110" s="163"/>
      <c r="Y110" s="163"/>
      <c r="Z110" s="163"/>
      <c r="AA110" s="163"/>
      <c r="AC110" s="150" t="s">
        <v>281</v>
      </c>
      <c r="AD110" s="165"/>
      <c r="AE110" s="171">
        <v>135998.65009809914</v>
      </c>
      <c r="AF110" s="171">
        <v>128179</v>
      </c>
      <c r="AG110" s="163"/>
      <c r="AH110" s="163"/>
      <c r="AI110" s="163"/>
      <c r="AJ110" s="163"/>
      <c r="AK110" s="163"/>
      <c r="AL110" s="163"/>
      <c r="AM110" s="163"/>
      <c r="AN110" s="163"/>
      <c r="AO110" s="163"/>
    </row>
    <row r="111" spans="1:41" ht="12.75">
      <c r="A111" s="168" t="s">
        <v>297</v>
      </c>
      <c r="B111" s="163"/>
      <c r="C111" s="172"/>
      <c r="D111" s="172"/>
      <c r="E111" s="159"/>
      <c r="F111" s="159"/>
      <c r="G111" s="159"/>
      <c r="H111" s="159"/>
      <c r="I111" s="159"/>
      <c r="J111" s="159"/>
      <c r="K111" s="159"/>
      <c r="L111" s="159"/>
      <c r="M111" s="159"/>
      <c r="O111" s="168" t="s">
        <v>297</v>
      </c>
      <c r="P111" s="163"/>
      <c r="Q111" s="172"/>
      <c r="R111" s="172"/>
      <c r="S111" s="159"/>
      <c r="T111" s="159"/>
      <c r="U111" s="159"/>
      <c r="V111" s="159"/>
      <c r="W111" s="159"/>
      <c r="X111" s="159"/>
      <c r="Y111" s="159"/>
      <c r="Z111" s="159"/>
      <c r="AA111" s="159"/>
      <c r="AC111" s="168" t="s">
        <v>297</v>
      </c>
      <c r="AD111" s="163"/>
      <c r="AE111" s="172"/>
      <c r="AF111" s="172"/>
      <c r="AG111" s="159"/>
      <c r="AH111" s="159"/>
      <c r="AI111" s="159"/>
      <c r="AJ111" s="159"/>
      <c r="AK111" s="159"/>
      <c r="AL111" s="159"/>
      <c r="AM111" s="159"/>
      <c r="AN111" s="159"/>
      <c r="AO111" s="159"/>
    </row>
    <row r="112" spans="1:41" ht="12.75">
      <c r="A112" s="149" t="s">
        <v>296</v>
      </c>
      <c r="B112" s="159"/>
      <c r="C112" s="170">
        <v>22425.44</v>
      </c>
      <c r="D112" s="170">
        <v>11836</v>
      </c>
      <c r="E112" s="159"/>
      <c r="F112" s="159"/>
      <c r="G112" s="159"/>
      <c r="H112" s="159"/>
      <c r="I112" s="159"/>
      <c r="J112" s="159"/>
      <c r="K112" s="159"/>
      <c r="L112" s="159"/>
      <c r="M112" s="159"/>
      <c r="O112" s="149" t="s">
        <v>296</v>
      </c>
      <c r="P112" s="159"/>
      <c r="Q112" s="170">
        <v>22425.44</v>
      </c>
      <c r="R112" s="170">
        <v>11836</v>
      </c>
      <c r="S112" s="159"/>
      <c r="T112" s="159"/>
      <c r="U112" s="159"/>
      <c r="V112" s="159"/>
      <c r="W112" s="159"/>
      <c r="X112" s="159"/>
      <c r="Y112" s="159"/>
      <c r="Z112" s="159"/>
      <c r="AA112" s="159"/>
      <c r="AC112" s="149" t="s">
        <v>296</v>
      </c>
      <c r="AD112" s="159"/>
      <c r="AE112" s="170">
        <v>22425.44</v>
      </c>
      <c r="AF112" s="170">
        <v>11836</v>
      </c>
      <c r="AG112" s="159"/>
      <c r="AH112" s="159"/>
      <c r="AI112" s="159"/>
      <c r="AJ112" s="159"/>
      <c r="AK112" s="159"/>
      <c r="AL112" s="159"/>
      <c r="AM112" s="159"/>
      <c r="AN112" s="159"/>
      <c r="AO112" s="159"/>
    </row>
    <row r="113" spans="1:41" ht="12.75">
      <c r="A113" s="150" t="s">
        <v>281</v>
      </c>
      <c r="B113" s="165"/>
      <c r="C113" s="171">
        <v>21465.165608066567</v>
      </c>
      <c r="D113" s="171">
        <v>11246</v>
      </c>
      <c r="E113" s="159"/>
      <c r="F113" s="159"/>
      <c r="G113" s="159"/>
      <c r="H113" s="159"/>
      <c r="I113" s="159"/>
      <c r="J113" s="159"/>
      <c r="K113" s="159"/>
      <c r="L113" s="159"/>
      <c r="M113" s="159"/>
      <c r="O113" s="150" t="s">
        <v>281</v>
      </c>
      <c r="P113" s="165"/>
      <c r="Q113" s="171">
        <v>21465.165608066567</v>
      </c>
      <c r="R113" s="171">
        <v>11246</v>
      </c>
      <c r="S113" s="159"/>
      <c r="T113" s="159"/>
      <c r="U113" s="159"/>
      <c r="V113" s="159"/>
      <c r="W113" s="159"/>
      <c r="X113" s="159"/>
      <c r="Y113" s="159"/>
      <c r="Z113" s="159"/>
      <c r="AA113" s="159"/>
      <c r="AC113" s="150" t="s">
        <v>281</v>
      </c>
      <c r="AD113" s="165"/>
      <c r="AE113" s="171">
        <v>21465.165608066567</v>
      </c>
      <c r="AF113" s="171">
        <v>11246</v>
      </c>
      <c r="AG113" s="159"/>
      <c r="AH113" s="159"/>
      <c r="AI113" s="159"/>
      <c r="AJ113" s="159"/>
      <c r="AK113" s="159"/>
      <c r="AL113" s="159"/>
      <c r="AM113" s="159"/>
      <c r="AN113" s="159"/>
      <c r="AO113" s="159"/>
    </row>
    <row r="114" spans="1:41" ht="12.75">
      <c r="A114" s="168" t="s">
        <v>287</v>
      </c>
      <c r="B114" s="163"/>
      <c r="C114" s="173"/>
      <c r="D114" s="173"/>
      <c r="E114" s="159"/>
      <c r="F114" s="159"/>
      <c r="G114" s="159"/>
      <c r="H114" s="159"/>
      <c r="I114" s="159"/>
      <c r="J114" s="159"/>
      <c r="K114" s="159"/>
      <c r="L114" s="159"/>
      <c r="M114" s="159"/>
      <c r="O114" s="168" t="s">
        <v>287</v>
      </c>
      <c r="P114" s="163"/>
      <c r="Q114" s="173"/>
      <c r="R114" s="173"/>
      <c r="S114" s="159"/>
      <c r="T114" s="159"/>
      <c r="U114" s="159"/>
      <c r="V114" s="159"/>
      <c r="W114" s="159"/>
      <c r="X114" s="159"/>
      <c r="Y114" s="159"/>
      <c r="Z114" s="159"/>
      <c r="AA114" s="159"/>
      <c r="AC114" s="168" t="s">
        <v>287</v>
      </c>
      <c r="AD114" s="163"/>
      <c r="AE114" s="173"/>
      <c r="AF114" s="173"/>
      <c r="AG114" s="159"/>
      <c r="AH114" s="159"/>
      <c r="AI114" s="159"/>
      <c r="AJ114" s="159"/>
      <c r="AK114" s="159"/>
      <c r="AL114" s="159"/>
      <c r="AM114" s="159"/>
      <c r="AN114" s="159"/>
      <c r="AO114" s="159"/>
    </row>
    <row r="115" spans="1:41" ht="12.75">
      <c r="A115" s="149" t="s">
        <v>296</v>
      </c>
      <c r="B115" s="159"/>
      <c r="C115" s="174">
        <v>165574.8112850776</v>
      </c>
      <c r="D115" s="174">
        <v>142525</v>
      </c>
      <c r="E115" s="159"/>
      <c r="F115" s="159"/>
      <c r="G115" s="159"/>
      <c r="H115" s="159"/>
      <c r="I115" s="159"/>
      <c r="J115" s="159"/>
      <c r="K115" s="159"/>
      <c r="L115" s="159"/>
      <c r="M115" s="159"/>
      <c r="O115" s="149" t="s">
        <v>296</v>
      </c>
      <c r="P115" s="159"/>
      <c r="Q115" s="174">
        <v>165574.8112850776</v>
      </c>
      <c r="R115" s="174">
        <v>142525</v>
      </c>
      <c r="S115" s="159"/>
      <c r="T115" s="159"/>
      <c r="U115" s="159"/>
      <c r="V115" s="159"/>
      <c r="W115" s="159"/>
      <c r="X115" s="159"/>
      <c r="Y115" s="159"/>
      <c r="Z115" s="159"/>
      <c r="AA115" s="159"/>
      <c r="AC115" s="149" t="s">
        <v>296</v>
      </c>
      <c r="AD115" s="159"/>
      <c r="AE115" s="174">
        <v>165574.8112850776</v>
      </c>
      <c r="AF115" s="174">
        <v>142525</v>
      </c>
      <c r="AG115" s="159"/>
      <c r="AH115" s="159"/>
      <c r="AI115" s="159"/>
      <c r="AJ115" s="159"/>
      <c r="AK115" s="159"/>
      <c r="AL115" s="159"/>
      <c r="AM115" s="159"/>
      <c r="AN115" s="159"/>
      <c r="AO115" s="159"/>
    </row>
    <row r="116" spans="1:41" ht="13.5" thickBot="1">
      <c r="A116" s="153" t="s">
        <v>281</v>
      </c>
      <c r="B116" s="175"/>
      <c r="C116" s="176">
        <v>157463.8157061657</v>
      </c>
      <c r="D116" s="176">
        <v>139425</v>
      </c>
      <c r="E116" s="159"/>
      <c r="F116" s="159"/>
      <c r="G116" s="159"/>
      <c r="H116" s="159"/>
      <c r="I116" s="159"/>
      <c r="J116" s="159"/>
      <c r="K116" s="159"/>
      <c r="L116" s="159"/>
      <c r="M116" s="159"/>
      <c r="O116" s="153" t="s">
        <v>281</v>
      </c>
      <c r="P116" s="175"/>
      <c r="Q116" s="176">
        <v>157463.8157061657</v>
      </c>
      <c r="R116" s="176">
        <v>139425</v>
      </c>
      <c r="S116" s="159"/>
      <c r="T116" s="159"/>
      <c r="U116" s="159"/>
      <c r="V116" s="159"/>
      <c r="W116" s="159"/>
      <c r="X116" s="159"/>
      <c r="Y116" s="159"/>
      <c r="Z116" s="159"/>
      <c r="AA116" s="159"/>
      <c r="AC116" s="153" t="s">
        <v>281</v>
      </c>
      <c r="AD116" s="175"/>
      <c r="AE116" s="176">
        <v>157463.8157061657</v>
      </c>
      <c r="AF116" s="176">
        <v>139425</v>
      </c>
      <c r="AG116" s="159"/>
      <c r="AH116" s="159"/>
      <c r="AI116" s="159"/>
      <c r="AJ116" s="159"/>
      <c r="AK116" s="159"/>
      <c r="AL116" s="159"/>
      <c r="AM116" s="159"/>
      <c r="AN116" s="159"/>
      <c r="AO116" s="159"/>
    </row>
    <row r="117" spans="1:41" ht="13.5" thickTop="1">
      <c r="A117" s="155"/>
      <c r="B117" s="161"/>
      <c r="C117" s="177"/>
      <c r="D117" s="177"/>
      <c r="E117" s="177"/>
      <c r="F117" s="177"/>
      <c r="G117" s="177"/>
      <c r="H117" s="177"/>
      <c r="I117" s="178"/>
      <c r="J117" s="179"/>
      <c r="K117" s="179"/>
      <c r="L117" s="179"/>
      <c r="M117" s="179"/>
      <c r="O117" s="155"/>
      <c r="P117" s="161"/>
      <c r="Q117" s="177"/>
      <c r="R117" s="177"/>
      <c r="S117" s="177"/>
      <c r="T117" s="177"/>
      <c r="U117" s="177"/>
      <c r="V117" s="177"/>
      <c r="W117" s="178"/>
      <c r="X117" s="179"/>
      <c r="Y117" s="179"/>
      <c r="Z117" s="179"/>
      <c r="AA117" s="179"/>
      <c r="AC117" s="155"/>
      <c r="AD117" s="161"/>
      <c r="AE117" s="177"/>
      <c r="AF117" s="177"/>
      <c r="AG117" s="177"/>
      <c r="AH117" s="177"/>
      <c r="AI117" s="177"/>
      <c r="AJ117" s="177"/>
      <c r="AK117" s="178"/>
      <c r="AL117" s="179"/>
      <c r="AM117" s="179"/>
      <c r="AN117" s="179"/>
      <c r="AO117" s="179"/>
    </row>
    <row r="118" spans="1:41" ht="12.75">
      <c r="A118" s="180" t="s">
        <v>298</v>
      </c>
      <c r="B118" s="181"/>
      <c r="C118" s="181"/>
      <c r="D118" s="181"/>
      <c r="E118" s="181"/>
      <c r="F118" s="181"/>
      <c r="G118" s="181"/>
      <c r="H118" s="181"/>
      <c r="I118" s="181"/>
      <c r="J118" s="160"/>
      <c r="K118" s="160"/>
      <c r="L118" s="160"/>
      <c r="M118" s="160"/>
      <c r="O118" s="180" t="s">
        <v>298</v>
      </c>
      <c r="P118" s="181"/>
      <c r="Q118" s="181"/>
      <c r="R118" s="181"/>
      <c r="S118" s="181"/>
      <c r="T118" s="181"/>
      <c r="U118" s="181"/>
      <c r="V118" s="181"/>
      <c r="W118" s="181"/>
      <c r="X118" s="160"/>
      <c r="Y118" s="160"/>
      <c r="Z118" s="160"/>
      <c r="AA118" s="160"/>
      <c r="AC118" s="180" t="s">
        <v>298</v>
      </c>
      <c r="AD118" s="181"/>
      <c r="AE118" s="181"/>
      <c r="AF118" s="181"/>
      <c r="AG118" s="181"/>
      <c r="AH118" s="181"/>
      <c r="AI118" s="181"/>
      <c r="AJ118" s="181"/>
      <c r="AK118" s="181"/>
      <c r="AL118" s="160"/>
      <c r="AM118" s="160"/>
      <c r="AN118" s="160"/>
      <c r="AO118" s="160"/>
    </row>
    <row r="119" spans="1:41" ht="12.75">
      <c r="A119" s="182" t="s">
        <v>299</v>
      </c>
      <c r="B119" s="160"/>
      <c r="C119" s="160"/>
      <c r="D119" s="160"/>
      <c r="E119" s="160"/>
      <c r="F119" s="160"/>
      <c r="G119" s="160"/>
      <c r="H119" s="160"/>
      <c r="I119" s="160"/>
      <c r="J119" s="160"/>
      <c r="K119" s="160"/>
      <c r="L119" s="160"/>
      <c r="M119" s="160"/>
      <c r="O119" s="182" t="s">
        <v>299</v>
      </c>
      <c r="P119" s="160"/>
      <c r="Q119" s="160"/>
      <c r="R119" s="160"/>
      <c r="S119" s="160"/>
      <c r="T119" s="160"/>
      <c r="U119" s="160"/>
      <c r="V119" s="160"/>
      <c r="W119" s="160"/>
      <c r="X119" s="160"/>
      <c r="Y119" s="160"/>
      <c r="Z119" s="160"/>
      <c r="AA119" s="160"/>
      <c r="AC119" s="182" t="s">
        <v>299</v>
      </c>
      <c r="AD119" s="160"/>
      <c r="AE119" s="160"/>
      <c r="AF119" s="160"/>
      <c r="AG119" s="160"/>
      <c r="AH119" s="160"/>
      <c r="AI119" s="160"/>
      <c r="AJ119" s="160"/>
      <c r="AK119" s="160"/>
      <c r="AL119" s="160"/>
      <c r="AM119" s="160"/>
      <c r="AN119" s="160"/>
      <c r="AO119" s="160"/>
    </row>
    <row r="120" spans="1:41" ht="12.75">
      <c r="A120" s="180" t="s">
        <v>300</v>
      </c>
      <c r="B120" s="160"/>
      <c r="C120" s="160"/>
      <c r="D120" s="160"/>
      <c r="E120" s="160"/>
      <c r="F120" s="160"/>
      <c r="G120" s="160"/>
      <c r="H120" s="160"/>
      <c r="I120" s="160"/>
      <c r="J120" s="160"/>
      <c r="K120" s="160"/>
      <c r="L120" s="160"/>
      <c r="M120" s="160"/>
      <c r="O120" s="180" t="s">
        <v>300</v>
      </c>
      <c r="P120" s="160"/>
      <c r="Q120" s="160"/>
      <c r="R120" s="160"/>
      <c r="S120" s="160"/>
      <c r="T120" s="160"/>
      <c r="U120" s="160"/>
      <c r="V120" s="160"/>
      <c r="W120" s="160"/>
      <c r="X120" s="160"/>
      <c r="Y120" s="160"/>
      <c r="Z120" s="160"/>
      <c r="AA120" s="160"/>
      <c r="AC120" s="180" t="s">
        <v>300</v>
      </c>
      <c r="AD120" s="160"/>
      <c r="AE120" s="160"/>
      <c r="AF120" s="160"/>
      <c r="AG120" s="160"/>
      <c r="AH120" s="160"/>
      <c r="AI120" s="160"/>
      <c r="AJ120" s="160"/>
      <c r="AK120" s="160"/>
      <c r="AL120" s="160"/>
      <c r="AM120" s="160"/>
      <c r="AN120" s="160"/>
      <c r="AO120" s="160"/>
    </row>
    <row r="121" spans="1:41" ht="12.75">
      <c r="A121" s="180" t="s">
        <v>301</v>
      </c>
      <c r="B121" s="160"/>
      <c r="C121" s="160"/>
      <c r="D121" s="160"/>
      <c r="E121" s="160"/>
      <c r="F121" s="160"/>
      <c r="G121" s="160"/>
      <c r="H121" s="160"/>
      <c r="I121" s="160"/>
      <c r="J121" s="160"/>
      <c r="K121" s="160"/>
      <c r="L121" s="160"/>
      <c r="M121" s="160"/>
      <c r="O121" s="180" t="s">
        <v>301</v>
      </c>
      <c r="P121" s="160"/>
      <c r="Q121" s="160"/>
      <c r="R121" s="160"/>
      <c r="S121" s="160"/>
      <c r="T121" s="160"/>
      <c r="U121" s="160"/>
      <c r="V121" s="160"/>
      <c r="W121" s="160"/>
      <c r="X121" s="160"/>
      <c r="Y121" s="160"/>
      <c r="Z121" s="160"/>
      <c r="AA121" s="160"/>
      <c r="AC121" s="180" t="s">
        <v>301</v>
      </c>
      <c r="AD121" s="160"/>
      <c r="AE121" s="160"/>
      <c r="AF121" s="160"/>
      <c r="AG121" s="160"/>
      <c r="AH121" s="160"/>
      <c r="AI121" s="160"/>
      <c r="AJ121" s="160"/>
      <c r="AK121" s="160"/>
      <c r="AL121" s="160"/>
      <c r="AM121" s="160"/>
      <c r="AN121" s="160"/>
      <c r="AO121" s="160"/>
    </row>
    <row r="122" spans="1:41" ht="12.75">
      <c r="A122" s="180" t="s">
        <v>302</v>
      </c>
      <c r="B122" s="160"/>
      <c r="C122" s="160"/>
      <c r="D122" s="160"/>
      <c r="E122" s="160"/>
      <c r="F122" s="160"/>
      <c r="G122" s="160"/>
      <c r="H122" s="160"/>
      <c r="I122" s="160"/>
      <c r="J122" s="160"/>
      <c r="K122" s="160"/>
      <c r="L122" s="160"/>
      <c r="M122" s="160"/>
      <c r="O122" s="180" t="s">
        <v>302</v>
      </c>
      <c r="P122" s="160"/>
      <c r="Q122" s="160"/>
      <c r="R122" s="160"/>
      <c r="S122" s="160"/>
      <c r="T122" s="160"/>
      <c r="U122" s="160"/>
      <c r="V122" s="160"/>
      <c r="W122" s="160"/>
      <c r="X122" s="160"/>
      <c r="Y122" s="160"/>
      <c r="Z122" s="160"/>
      <c r="AA122" s="160"/>
      <c r="AC122" s="180" t="s">
        <v>302</v>
      </c>
      <c r="AD122" s="160"/>
      <c r="AE122" s="160"/>
      <c r="AF122" s="160"/>
      <c r="AG122" s="160"/>
      <c r="AH122" s="160"/>
      <c r="AI122" s="160"/>
      <c r="AJ122" s="160"/>
      <c r="AK122" s="160"/>
      <c r="AL122" s="160"/>
      <c r="AM122" s="160"/>
      <c r="AN122" s="160"/>
      <c r="AO122" s="160"/>
    </row>
    <row r="123" spans="1:41" ht="12.75">
      <c r="A123" s="180" t="s">
        <v>303</v>
      </c>
      <c r="B123" s="159"/>
      <c r="C123" s="159"/>
      <c r="D123" s="159"/>
      <c r="E123" s="159"/>
      <c r="F123" s="159"/>
      <c r="G123" s="159"/>
      <c r="H123" s="159"/>
      <c r="I123" s="159"/>
      <c r="J123" s="159"/>
      <c r="K123" s="159"/>
      <c r="L123" s="159"/>
      <c r="M123" s="159"/>
      <c r="O123" s="180" t="s">
        <v>303</v>
      </c>
      <c r="P123" s="159"/>
      <c r="Q123" s="159"/>
      <c r="R123" s="159"/>
      <c r="S123" s="159"/>
      <c r="T123" s="159"/>
      <c r="U123" s="159"/>
      <c r="V123" s="159"/>
      <c r="W123" s="159"/>
      <c r="X123" s="159"/>
      <c r="Y123" s="159"/>
      <c r="Z123" s="159"/>
      <c r="AA123" s="159"/>
      <c r="AC123" s="180" t="s">
        <v>303</v>
      </c>
      <c r="AD123" s="159"/>
      <c r="AE123" s="159"/>
      <c r="AF123" s="159"/>
      <c r="AG123" s="159"/>
      <c r="AH123" s="159"/>
      <c r="AI123" s="159"/>
      <c r="AJ123" s="159"/>
      <c r="AK123" s="159"/>
      <c r="AL123" s="159"/>
      <c r="AM123" s="159"/>
      <c r="AN123" s="159"/>
      <c r="AO123" s="159"/>
    </row>
    <row r="124" spans="1:41" ht="12.75">
      <c r="A124" s="160"/>
      <c r="B124" s="159"/>
      <c r="C124" s="159"/>
      <c r="D124" s="159"/>
      <c r="E124" s="159"/>
      <c r="F124" s="159"/>
      <c r="G124" s="159"/>
      <c r="H124" s="159"/>
      <c r="I124" s="159"/>
      <c r="J124" s="159"/>
      <c r="K124" s="159"/>
      <c r="L124" s="159"/>
      <c r="M124" s="159"/>
      <c r="O124" s="160"/>
      <c r="P124" s="159"/>
      <c r="Q124" s="159"/>
      <c r="R124" s="159"/>
      <c r="S124" s="159"/>
      <c r="T124" s="159"/>
      <c r="U124" s="159"/>
      <c r="V124" s="159"/>
      <c r="W124" s="159"/>
      <c r="X124" s="159"/>
      <c r="Y124" s="159"/>
      <c r="Z124" s="159"/>
      <c r="AA124" s="159"/>
      <c r="AC124" s="160"/>
      <c r="AD124" s="159"/>
      <c r="AE124" s="159"/>
      <c r="AF124" s="159"/>
      <c r="AG124" s="159"/>
      <c r="AH124" s="159"/>
      <c r="AI124" s="159"/>
      <c r="AJ124" s="159"/>
      <c r="AK124" s="159"/>
      <c r="AL124" s="159"/>
      <c r="AM124" s="159"/>
      <c r="AN124" s="159"/>
      <c r="AO124" s="159"/>
    </row>
  </sheetData>
  <mergeCells count="9">
    <mergeCell ref="AD78:AJ78"/>
    <mergeCell ref="AL78:AO78"/>
    <mergeCell ref="AE103:AF103"/>
    <mergeCell ref="X78:AA78"/>
    <mergeCell ref="Q103:R103"/>
    <mergeCell ref="B78:H78"/>
    <mergeCell ref="J78:M78"/>
    <mergeCell ref="C103:D103"/>
    <mergeCell ref="P78:V78"/>
  </mergeCells>
  <printOptions/>
  <pageMargins left="0.7479166666666667" right="0.7479166666666667" top="0.9840277777777777" bottom="0.9840277777777777" header="0.5" footer="0.5"/>
  <pageSetup fitToHeight="1" fitToWidth="1" horizontalDpi="300" verticalDpi="300" orientation="portrait" paperSize="9"/>
  <headerFooter alignWithMargins="0">
    <oddHeader>&amp;R&amp;"Arial,Bold"ENERGY</oddHeader>
    <oddFooter>&amp;C27</oddFooter>
  </headerFooter>
  <legacyDrawing r:id="rId2"/>
</worksheet>
</file>

<file path=xl/worksheets/sheet6.xml><?xml version="1.0" encoding="utf-8"?>
<worksheet xmlns="http://schemas.openxmlformats.org/spreadsheetml/2006/main" xmlns:r="http://schemas.openxmlformats.org/officeDocument/2006/relationships">
  <dimension ref="A1:I14"/>
  <sheetViews>
    <sheetView workbookViewId="0" topLeftCell="A1">
      <selection activeCell="E13" sqref="E13"/>
    </sheetView>
  </sheetViews>
  <sheetFormatPr defaultColWidth="9.140625" defaultRowHeight="12.75"/>
  <cols>
    <col min="1" max="1" width="23.28125" style="0" customWidth="1"/>
    <col min="2" max="2" width="8.7109375" style="0" customWidth="1"/>
    <col min="3" max="3" width="8.140625" style="0" customWidth="1"/>
    <col min="4" max="5" width="7.8515625" style="0" customWidth="1"/>
    <col min="6" max="6" width="5.00390625" style="0" bestFit="1" customWidth="1"/>
    <col min="7" max="7" width="14.57421875" style="0" bestFit="1" customWidth="1"/>
  </cols>
  <sheetData>
    <row r="1" ht="15">
      <c r="A1" s="405" t="s">
        <v>743</v>
      </c>
    </row>
    <row r="2" spans="2:9" ht="12.75">
      <c r="B2" t="s">
        <v>690</v>
      </c>
      <c r="C2" t="s">
        <v>679</v>
      </c>
      <c r="D2" s="711" t="s">
        <v>700</v>
      </c>
      <c r="E2" s="711"/>
      <c r="F2" t="s">
        <v>679</v>
      </c>
      <c r="G2" t="s">
        <v>680</v>
      </c>
      <c r="H2" t="s">
        <v>689</v>
      </c>
      <c r="I2" t="s">
        <v>698</v>
      </c>
    </row>
    <row r="3" spans="1:7" ht="12.75">
      <c r="A3" t="s">
        <v>741</v>
      </c>
      <c r="B3" t="s">
        <v>692</v>
      </c>
      <c r="C3" t="s">
        <v>696</v>
      </c>
      <c r="D3" t="s">
        <v>693</v>
      </c>
      <c r="E3" t="s">
        <v>692</v>
      </c>
      <c r="F3" t="s">
        <v>695</v>
      </c>
      <c r="G3" t="s">
        <v>697</v>
      </c>
    </row>
    <row r="4" spans="1:9" ht="12.75">
      <c r="A4" t="s">
        <v>678</v>
      </c>
      <c r="B4">
        <f aca="true" t="shared" si="0" ref="B4:B9">G4/60</f>
        <v>0.19666666666666668</v>
      </c>
      <c r="C4" t="s">
        <v>681</v>
      </c>
      <c r="E4">
        <v>0.7</v>
      </c>
      <c r="F4">
        <v>1200</v>
      </c>
      <c r="G4">
        <v>11.8</v>
      </c>
      <c r="H4">
        <f>G4/E4</f>
        <v>16.857142857142858</v>
      </c>
      <c r="I4">
        <v>1</v>
      </c>
    </row>
    <row r="5" spans="1:9" ht="12.75">
      <c r="A5" t="s">
        <v>682</v>
      </c>
      <c r="B5">
        <f t="shared" si="0"/>
        <v>0.13666666666666666</v>
      </c>
      <c r="C5" t="s">
        <v>683</v>
      </c>
      <c r="E5">
        <v>1</v>
      </c>
      <c r="F5">
        <v>877</v>
      </c>
      <c r="G5">
        <v>8.2</v>
      </c>
      <c r="H5">
        <f>G5/E5</f>
        <v>8.2</v>
      </c>
      <c r="I5">
        <v>1</v>
      </c>
    </row>
    <row r="6" spans="1:9" ht="12.75">
      <c r="A6" t="s">
        <v>684</v>
      </c>
      <c r="B6">
        <f t="shared" si="0"/>
        <v>0.08499999999999999</v>
      </c>
      <c r="C6" t="s">
        <v>685</v>
      </c>
      <c r="E6">
        <v>1.5</v>
      </c>
      <c r="F6">
        <v>544</v>
      </c>
      <c r="G6">
        <v>5.1</v>
      </c>
      <c r="H6">
        <f>G6/E6</f>
        <v>3.4</v>
      </c>
      <c r="I6">
        <v>1</v>
      </c>
    </row>
    <row r="7" spans="1:9" ht="12.75">
      <c r="A7" t="s">
        <v>686</v>
      </c>
      <c r="B7">
        <f t="shared" si="0"/>
        <v>0.041666666666666664</v>
      </c>
      <c r="C7">
        <v>35</v>
      </c>
      <c r="E7">
        <v>0.185</v>
      </c>
      <c r="F7">
        <v>455</v>
      </c>
      <c r="G7">
        <v>2.5</v>
      </c>
      <c r="H7">
        <f>G7/E7</f>
        <v>13.513513513513514</v>
      </c>
      <c r="I7">
        <v>1</v>
      </c>
    </row>
    <row r="8" spans="1:9" ht="12.75">
      <c r="A8" t="s">
        <v>687</v>
      </c>
      <c r="B8">
        <f t="shared" si="0"/>
        <v>0.01</v>
      </c>
      <c r="C8" s="617">
        <v>44105</v>
      </c>
      <c r="D8" s="617"/>
      <c r="E8">
        <v>0.15</v>
      </c>
      <c r="F8">
        <v>64</v>
      </c>
      <c r="G8">
        <v>0.6</v>
      </c>
      <c r="H8">
        <f>G8/E8</f>
        <v>4</v>
      </c>
      <c r="I8">
        <v>1</v>
      </c>
    </row>
    <row r="9" spans="1:9" ht="12.75">
      <c r="A9" t="s">
        <v>699</v>
      </c>
      <c r="B9">
        <f t="shared" si="0"/>
        <v>0.006</v>
      </c>
      <c r="C9" s="618">
        <v>39265</v>
      </c>
      <c r="D9" s="618"/>
      <c r="E9">
        <v>0.04</v>
      </c>
      <c r="F9">
        <v>66</v>
      </c>
      <c r="G9">
        <v>0.36</v>
      </c>
      <c r="I9">
        <v>10</v>
      </c>
    </row>
    <row r="10" spans="3:4" ht="12.75">
      <c r="C10" s="618"/>
      <c r="D10" s="618"/>
    </row>
    <row r="11" ht="12.75">
      <c r="A11" t="s">
        <v>742</v>
      </c>
    </row>
    <row r="12" spans="1:8" ht="12.75">
      <c r="A12" t="s">
        <v>691</v>
      </c>
      <c r="B12">
        <f>G12/60</f>
        <v>0.1375</v>
      </c>
      <c r="C12" t="s">
        <v>694</v>
      </c>
      <c r="D12">
        <v>0.25</v>
      </c>
      <c r="E12" s="621">
        <f>D12*44/12</f>
        <v>0.9166666666666666</v>
      </c>
      <c r="G12">
        <f>E12*H12</f>
        <v>8.25</v>
      </c>
      <c r="H12">
        <v>9</v>
      </c>
    </row>
    <row r="13" spans="1:5" ht="12.75">
      <c r="A13" t="s">
        <v>688</v>
      </c>
      <c r="B13" s="620">
        <f>E13</f>
        <v>0.011000000000000001</v>
      </c>
      <c r="D13">
        <v>0.003</v>
      </c>
      <c r="E13" s="620">
        <f>D13*44/12</f>
        <v>0.011000000000000001</v>
      </c>
    </row>
    <row r="14" spans="1:7" ht="12.75">
      <c r="A14" t="s">
        <v>701</v>
      </c>
      <c r="B14">
        <f>G14/60</f>
        <v>0.2916666666666667</v>
      </c>
      <c r="G14">
        <v>17.5</v>
      </c>
    </row>
  </sheetData>
  <mergeCells count="1">
    <mergeCell ref="D2: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95"/>
  <sheetViews>
    <sheetView zoomScale="75" zoomScaleNormal="75" zoomScaleSheetLayoutView="70" workbookViewId="0" topLeftCell="A1">
      <selection activeCell="I15" sqref="I13:I15"/>
    </sheetView>
  </sheetViews>
  <sheetFormatPr defaultColWidth="9.140625" defaultRowHeight="12.75"/>
  <cols>
    <col min="1" max="1" width="4.28125" style="374" customWidth="1"/>
    <col min="2" max="2" width="65.57421875" style="374" customWidth="1"/>
    <col min="3" max="3" width="13.7109375" style="374" customWidth="1"/>
    <col min="4" max="4" width="6.8515625" style="400" customWidth="1"/>
    <col min="5" max="5" width="8.7109375" style="374" customWidth="1"/>
    <col min="6" max="16384" width="11.421875" style="374" customWidth="1"/>
  </cols>
  <sheetData>
    <row r="1" spans="1:5" ht="18.75">
      <c r="A1" s="388" t="s">
        <v>625</v>
      </c>
      <c r="B1" s="389"/>
      <c r="C1" s="389"/>
      <c r="D1" s="390"/>
      <c r="E1" s="378"/>
    </row>
    <row r="2" spans="1:5" ht="15">
      <c r="A2" s="391"/>
      <c r="B2" s="373"/>
      <c r="C2" s="373"/>
      <c r="D2" s="390"/>
      <c r="E2" s="379"/>
    </row>
    <row r="3" spans="1:5" ht="15">
      <c r="A3" s="392" t="s">
        <v>526</v>
      </c>
      <c r="B3" s="392"/>
      <c r="C3" s="392"/>
      <c r="D3" s="393"/>
      <c r="E3" s="395" t="s">
        <v>527</v>
      </c>
    </row>
    <row r="4" spans="1:5" ht="15">
      <c r="A4" s="372"/>
      <c r="B4" s="372"/>
      <c r="C4" s="396" t="s">
        <v>528</v>
      </c>
      <c r="D4" s="397"/>
      <c r="E4" s="378">
        <v>2005</v>
      </c>
    </row>
    <row r="5" spans="1:5" ht="15">
      <c r="A5" s="377" t="s">
        <v>529</v>
      </c>
      <c r="C5" s="398" t="s">
        <v>530</v>
      </c>
      <c r="D5" s="397"/>
      <c r="E5" s="380">
        <v>208.44373965715053</v>
      </c>
    </row>
    <row r="6" spans="1:5" ht="15">
      <c r="A6" s="372"/>
      <c r="B6" s="375" t="s">
        <v>470</v>
      </c>
      <c r="C6" s="398" t="s">
        <v>531</v>
      </c>
      <c r="D6" s="397"/>
      <c r="E6" s="379">
        <v>172.27976305668176</v>
      </c>
    </row>
    <row r="7" spans="1:5" ht="15">
      <c r="A7" s="377"/>
      <c r="B7" s="375" t="s">
        <v>471</v>
      </c>
      <c r="C7" s="398" t="s">
        <v>532</v>
      </c>
      <c r="D7" s="397"/>
      <c r="E7" s="379">
        <v>18.173841855847467</v>
      </c>
    </row>
    <row r="8" spans="1:5" ht="15">
      <c r="A8" s="372"/>
      <c r="B8" s="375" t="s">
        <v>472</v>
      </c>
      <c r="C8" s="398" t="s">
        <v>533</v>
      </c>
      <c r="D8" s="397"/>
      <c r="E8" s="381">
        <v>17.990134744621308</v>
      </c>
    </row>
    <row r="9" spans="1:5" ht="15">
      <c r="A9" s="377" t="s">
        <v>519</v>
      </c>
      <c r="C9" s="398" t="s">
        <v>534</v>
      </c>
      <c r="D9" s="397"/>
      <c r="E9" s="380">
        <v>85.05972296901817</v>
      </c>
    </row>
    <row r="10" spans="1:5" ht="15">
      <c r="A10" s="372"/>
      <c r="B10" s="375" t="s">
        <v>230</v>
      </c>
      <c r="C10" s="398" t="s">
        <v>535</v>
      </c>
      <c r="D10" s="397"/>
      <c r="E10" s="379">
        <v>17.86567606975484</v>
      </c>
    </row>
    <row r="11" spans="1:5" ht="15">
      <c r="A11" s="372"/>
      <c r="B11" s="375" t="s">
        <v>473</v>
      </c>
      <c r="C11" s="398" t="s">
        <v>536</v>
      </c>
      <c r="D11" s="397">
        <v>2</v>
      </c>
      <c r="E11" s="379">
        <v>67.19404689926333</v>
      </c>
    </row>
    <row r="12" spans="1:5" ht="15">
      <c r="A12" s="377" t="s">
        <v>525</v>
      </c>
      <c r="B12" s="374"/>
      <c r="C12" s="398" t="s">
        <v>537</v>
      </c>
      <c r="D12" s="399"/>
      <c r="E12" s="380">
        <v>119.89327690766102</v>
      </c>
    </row>
    <row r="13" spans="1:9" ht="15">
      <c r="A13" s="372"/>
      <c r="B13" s="375" t="s">
        <v>474</v>
      </c>
      <c r="C13" s="398" t="s">
        <v>538</v>
      </c>
      <c r="D13" s="400"/>
      <c r="E13" s="382">
        <v>69.90977344405987</v>
      </c>
      <c r="F13">
        <f>E13/$E$12</f>
        <v>0.5831000306873148</v>
      </c>
      <c r="G13" s="374"/>
      <c r="H13" t="s">
        <v>654</v>
      </c>
      <c r="I13" s="505">
        <f>F13</f>
        <v>0.5831000306873148</v>
      </c>
    </row>
    <row r="14" spans="1:9" ht="15">
      <c r="A14" s="372"/>
      <c r="B14" s="375" t="s">
        <v>475</v>
      </c>
      <c r="C14" s="398" t="s">
        <v>539</v>
      </c>
      <c r="D14" s="400"/>
      <c r="E14" s="382">
        <v>16.816445275171848</v>
      </c>
      <c r="F14">
        <f aca="true" t="shared" si="0" ref="F14:F19">E14/$E$12</f>
        <v>0.1402617870568629</v>
      </c>
      <c r="H14" t="s">
        <v>655</v>
      </c>
      <c r="I14" s="505">
        <f>SUM(F17:F19)+SUM(F14:F15)</f>
        <v>0.17841980158874604</v>
      </c>
    </row>
    <row r="15" spans="1:9" ht="15">
      <c r="A15" s="372"/>
      <c r="B15" s="375" t="s">
        <v>476</v>
      </c>
      <c r="C15" s="398" t="s">
        <v>540</v>
      </c>
      <c r="D15" s="400"/>
      <c r="E15" s="382">
        <v>3.5941998710450322</v>
      </c>
      <c r="F15">
        <f t="shared" si="0"/>
        <v>0.029978327090127002</v>
      </c>
      <c r="H15" t="s">
        <v>222</v>
      </c>
      <c r="I15" s="505">
        <f>F16</f>
        <v>0.238480167723939</v>
      </c>
    </row>
    <row r="16" spans="1:7" ht="15">
      <c r="A16" s="372"/>
      <c r="B16" s="375" t="s">
        <v>477</v>
      </c>
      <c r="C16" s="398" t="s">
        <v>541</v>
      </c>
      <c r="D16" s="400"/>
      <c r="E16" s="382">
        <v>28.592168785911664</v>
      </c>
      <c r="F16">
        <f t="shared" si="0"/>
        <v>0.238480167723939</v>
      </c>
      <c r="G16" s="374"/>
    </row>
    <row r="17" spans="1:6" ht="15">
      <c r="A17" s="372"/>
      <c r="B17" s="375" t="s">
        <v>478</v>
      </c>
      <c r="C17" s="398" t="s">
        <v>542</v>
      </c>
      <c r="D17" s="400"/>
      <c r="E17" s="382">
        <v>0.44750255542149403</v>
      </c>
      <c r="F17">
        <f t="shared" si="0"/>
        <v>0.003732507501368488</v>
      </c>
    </row>
    <row r="18" spans="1:6" ht="15">
      <c r="A18" s="372"/>
      <c r="B18" s="375" t="s">
        <v>479</v>
      </c>
      <c r="C18" s="398" t="s">
        <v>537</v>
      </c>
      <c r="D18" s="400"/>
      <c r="E18" s="382">
        <v>0.35384598914754956</v>
      </c>
      <c r="F18">
        <f t="shared" si="0"/>
        <v>0.0029513413785501367</v>
      </c>
    </row>
    <row r="19" spans="1:7" ht="15">
      <c r="A19" s="372"/>
      <c r="B19" s="375" t="s">
        <v>480</v>
      </c>
      <c r="C19" s="398" t="s">
        <v>537</v>
      </c>
      <c r="D19" s="400"/>
      <c r="E19" s="382">
        <v>0.1793409869035394</v>
      </c>
      <c r="F19">
        <f t="shared" si="0"/>
        <v>0.0014958385618374882</v>
      </c>
      <c r="G19" s="374"/>
    </row>
    <row r="20" spans="1:10" ht="15">
      <c r="A20" s="377" t="s">
        <v>624</v>
      </c>
      <c r="C20" s="398" t="s">
        <v>544</v>
      </c>
      <c r="D20" s="397"/>
      <c r="E20" s="414">
        <f>SUM(E21:E25)</f>
        <v>37.47450823074899</v>
      </c>
      <c r="G20" s="430" t="s">
        <v>623</v>
      </c>
      <c r="H20" s="431"/>
      <c r="I20" s="431"/>
      <c r="J20" s="432"/>
    </row>
    <row r="21" spans="1:10" ht="15">
      <c r="A21" s="372"/>
      <c r="B21" s="375" t="s">
        <v>481</v>
      </c>
      <c r="C21" s="398" t="s">
        <v>545</v>
      </c>
      <c r="D21" s="397"/>
      <c r="E21" s="379">
        <v>0.8492468334170751</v>
      </c>
      <c r="G21" s="433">
        <v>9.119247576139133</v>
      </c>
      <c r="H21" s="394"/>
      <c r="I21" s="394"/>
      <c r="J21" s="434"/>
    </row>
    <row r="22" spans="1:5" ht="15">
      <c r="A22" s="372"/>
      <c r="B22" s="375" t="s">
        <v>482</v>
      </c>
      <c r="C22" s="398" t="s">
        <v>546</v>
      </c>
      <c r="D22" s="397"/>
      <c r="E22" s="383">
        <v>1.6157526808906695</v>
      </c>
    </row>
    <row r="23" spans="1:5" ht="15">
      <c r="A23" s="373"/>
      <c r="B23" s="374" t="s">
        <v>591</v>
      </c>
      <c r="C23" s="374" t="s">
        <v>592</v>
      </c>
      <c r="D23" s="397"/>
      <c r="E23" s="418">
        <v>2.572108994228077</v>
      </c>
    </row>
    <row r="24" spans="1:5" ht="15">
      <c r="A24" s="373"/>
      <c r="B24" s="374" t="s">
        <v>593</v>
      </c>
      <c r="C24" s="374" t="s">
        <v>594</v>
      </c>
      <c r="E24" s="418">
        <v>32.435741173206004</v>
      </c>
    </row>
    <row r="25" spans="1:5" ht="15">
      <c r="A25" s="373"/>
      <c r="B25" s="374" t="s">
        <v>595</v>
      </c>
      <c r="C25" s="374" t="s">
        <v>596</v>
      </c>
      <c r="E25" s="418">
        <v>0.0016585490071625122</v>
      </c>
    </row>
    <row r="26" spans="1:5" ht="15">
      <c r="A26" s="377" t="s">
        <v>543</v>
      </c>
      <c r="C26" s="398" t="s">
        <v>544</v>
      </c>
      <c r="D26" s="397"/>
      <c r="E26" s="380">
        <f>SUM(E27:E30)</f>
        <v>12.51213278244061</v>
      </c>
    </row>
    <row r="27" spans="1:6" ht="15">
      <c r="A27" s="372"/>
      <c r="B27" s="375" t="s">
        <v>483</v>
      </c>
      <c r="C27" s="398" t="s">
        <v>547</v>
      </c>
      <c r="D27" s="397"/>
      <c r="E27" s="379">
        <v>2.0322366317834786</v>
      </c>
      <c r="F27" s="386"/>
    </row>
    <row r="28" spans="1:6" ht="15">
      <c r="A28" s="372"/>
      <c r="B28" s="375" t="s">
        <v>245</v>
      </c>
      <c r="C28" s="398" t="s">
        <v>548</v>
      </c>
      <c r="D28" s="397"/>
      <c r="E28" s="379">
        <v>4.178958590626448</v>
      </c>
      <c r="F28" s="386"/>
    </row>
    <row r="29" spans="1:6" ht="15">
      <c r="A29" s="372"/>
      <c r="B29" s="375" t="s">
        <v>484</v>
      </c>
      <c r="C29" s="398" t="s">
        <v>549</v>
      </c>
      <c r="D29" s="397">
        <v>3</v>
      </c>
      <c r="E29" s="379">
        <v>0.4430528394214621</v>
      </c>
      <c r="F29" s="386"/>
    </row>
    <row r="30" spans="1:6" ht="15">
      <c r="A30" s="373"/>
      <c r="B30" s="374" t="s">
        <v>597</v>
      </c>
      <c r="C30" s="374" t="s">
        <v>598</v>
      </c>
      <c r="E30" s="418">
        <v>5.85788472060922</v>
      </c>
      <c r="F30" s="386"/>
    </row>
    <row r="31" spans="1:6" s="376" customFormat="1" ht="15">
      <c r="A31" s="377" t="s">
        <v>520</v>
      </c>
      <c r="C31" s="398" t="s">
        <v>550</v>
      </c>
      <c r="D31" s="401"/>
      <c r="E31" s="384">
        <v>23.37583300043678</v>
      </c>
      <c r="F31" s="386"/>
    </row>
    <row r="32" spans="1:6" ht="15">
      <c r="A32" s="377" t="s">
        <v>425</v>
      </c>
      <c r="C32" s="398" t="s">
        <v>551</v>
      </c>
      <c r="D32" s="397"/>
      <c r="E32" s="380">
        <v>83.34165483647263</v>
      </c>
      <c r="F32" s="386"/>
    </row>
    <row r="33" spans="1:6" ht="15">
      <c r="A33" s="372"/>
      <c r="B33" s="375" t="s">
        <v>485</v>
      </c>
      <c r="C33" s="398" t="s">
        <v>552</v>
      </c>
      <c r="D33" s="397"/>
      <c r="E33" s="379">
        <v>82.99953300236506</v>
      </c>
      <c r="F33" s="386"/>
    </row>
    <row r="34" spans="1:5" ht="15">
      <c r="A34" s="372"/>
      <c r="B34" s="375" t="s">
        <v>486</v>
      </c>
      <c r="C34" s="398" t="s">
        <v>553</v>
      </c>
      <c r="D34" s="397"/>
      <c r="E34" s="379">
        <v>0.34212183410757785</v>
      </c>
    </row>
    <row r="35" spans="1:5" ht="15">
      <c r="A35" s="377" t="s">
        <v>554</v>
      </c>
      <c r="C35" s="398" t="s">
        <v>555</v>
      </c>
      <c r="D35" s="397">
        <v>12</v>
      </c>
      <c r="E35" s="380">
        <v>4.457394910584441</v>
      </c>
    </row>
    <row r="36" spans="1:5" ht="15">
      <c r="A36" s="372"/>
      <c r="B36" s="375" t="s">
        <v>487</v>
      </c>
      <c r="C36" s="398" t="s">
        <v>556</v>
      </c>
      <c r="D36" s="397"/>
      <c r="E36" s="379">
        <v>0.4821253619706715</v>
      </c>
    </row>
    <row r="37" spans="1:5" ht="15">
      <c r="A37" s="372"/>
      <c r="B37" s="375" t="s">
        <v>488</v>
      </c>
      <c r="C37" s="398" t="s">
        <v>557</v>
      </c>
      <c r="E37" s="379">
        <v>3.975269548613769</v>
      </c>
    </row>
    <row r="38" spans="1:5" s="376" customFormat="1" ht="15">
      <c r="A38" s="377" t="s">
        <v>521</v>
      </c>
      <c r="C38" s="398" t="s">
        <v>558</v>
      </c>
      <c r="D38" s="401"/>
      <c r="E38" s="384">
        <v>2.7883802373001396</v>
      </c>
    </row>
    <row r="39" spans="1:5" ht="15">
      <c r="A39" s="377" t="s">
        <v>522</v>
      </c>
      <c r="C39" s="398" t="s">
        <v>559</v>
      </c>
      <c r="D39" s="397"/>
      <c r="E39" s="380">
        <v>5.857938246161733</v>
      </c>
    </row>
    <row r="40" spans="1:5" ht="15">
      <c r="A40" s="372"/>
      <c r="B40" s="375" t="s">
        <v>489</v>
      </c>
      <c r="C40" s="398" t="s">
        <v>560</v>
      </c>
      <c r="D40" s="397"/>
      <c r="E40" s="379">
        <v>0.11006951666721732</v>
      </c>
    </row>
    <row r="41" spans="1:5" ht="15">
      <c r="A41" s="377"/>
      <c r="B41" s="375" t="s">
        <v>490</v>
      </c>
      <c r="C41" s="398" t="s">
        <v>561</v>
      </c>
      <c r="D41" s="397"/>
      <c r="E41" s="379">
        <v>1.147325075</v>
      </c>
    </row>
    <row r="42" spans="1:5" ht="15">
      <c r="A42" s="372"/>
      <c r="B42" s="375" t="s">
        <v>491</v>
      </c>
      <c r="C42" s="398" t="s">
        <v>562</v>
      </c>
      <c r="D42" s="397"/>
      <c r="E42" s="379">
        <v>4.5973405474431726</v>
      </c>
    </row>
    <row r="43" spans="1:5" ht="15">
      <c r="A43" s="372"/>
      <c r="B43" s="375" t="s">
        <v>492</v>
      </c>
      <c r="C43" s="398" t="s">
        <v>562</v>
      </c>
      <c r="D43" s="397">
        <v>14</v>
      </c>
      <c r="E43" s="379">
        <v>0.0032031070513422735</v>
      </c>
    </row>
    <row r="44" spans="1:5" ht="15">
      <c r="A44" s="377" t="s">
        <v>523</v>
      </c>
      <c r="C44" s="398" t="s">
        <v>563</v>
      </c>
      <c r="D44" s="397"/>
      <c r="E44" s="380">
        <v>13.453433137561825</v>
      </c>
    </row>
    <row r="45" spans="1:5" ht="15">
      <c r="A45" s="372"/>
      <c r="B45" s="375" t="s">
        <v>493</v>
      </c>
      <c r="C45" s="398" t="s">
        <v>564</v>
      </c>
      <c r="D45" s="397"/>
      <c r="E45" s="379">
        <v>5.423272189866666</v>
      </c>
    </row>
    <row r="46" spans="1:5" ht="15">
      <c r="A46" s="372"/>
      <c r="B46" s="375" t="s">
        <v>494</v>
      </c>
      <c r="C46" s="398" t="s">
        <v>565</v>
      </c>
      <c r="D46" s="397"/>
      <c r="E46" s="379">
        <v>0.7380454524089306</v>
      </c>
    </row>
    <row r="47" spans="1:5" ht="15">
      <c r="A47" s="372"/>
      <c r="B47" s="375" t="s">
        <v>495</v>
      </c>
      <c r="C47" s="398" t="s">
        <v>566</v>
      </c>
      <c r="D47" s="397"/>
      <c r="E47" s="379">
        <v>1.2609713068965516</v>
      </c>
    </row>
    <row r="48" spans="1:5" ht="15">
      <c r="A48" s="372"/>
      <c r="B48" s="375" t="s">
        <v>496</v>
      </c>
      <c r="C48" s="398" t="s">
        <v>567</v>
      </c>
      <c r="D48" s="397"/>
      <c r="E48" s="379">
        <v>0.20228003515819357</v>
      </c>
    </row>
    <row r="49" spans="1:5" ht="15">
      <c r="A49" s="372"/>
      <c r="B49" s="375" t="s">
        <v>497</v>
      </c>
      <c r="C49" s="398" t="s">
        <v>568</v>
      </c>
      <c r="D49" s="397"/>
      <c r="E49" s="379">
        <v>0.12946179096106256</v>
      </c>
    </row>
    <row r="50" spans="1:5" ht="15">
      <c r="A50" s="372"/>
      <c r="B50" s="375" t="s">
        <v>498</v>
      </c>
      <c r="C50" s="398" t="s">
        <v>569</v>
      </c>
      <c r="D50" s="397"/>
      <c r="E50" s="379">
        <v>1.1198605294117647</v>
      </c>
    </row>
    <row r="51" spans="1:5" ht="15">
      <c r="A51" s="372"/>
      <c r="B51" s="375" t="s">
        <v>499</v>
      </c>
      <c r="C51" s="398" t="s">
        <v>570</v>
      </c>
      <c r="D51" s="397"/>
      <c r="E51" s="379">
        <v>2.133245479595571</v>
      </c>
    </row>
    <row r="52" spans="1:5" s="404" customFormat="1" ht="15">
      <c r="A52" s="402"/>
      <c r="B52" s="375" t="s">
        <v>500</v>
      </c>
      <c r="C52" s="398" t="s">
        <v>571</v>
      </c>
      <c r="D52" s="403"/>
      <c r="E52" s="379">
        <v>1.8788417732630844</v>
      </c>
    </row>
    <row r="53" spans="1:5" s="404" customFormat="1" ht="15">
      <c r="A53" s="402"/>
      <c r="B53" s="375" t="s">
        <v>501</v>
      </c>
      <c r="C53" s="398" t="s">
        <v>572</v>
      </c>
      <c r="D53" s="403"/>
      <c r="E53" s="379">
        <v>0.5674545799999999</v>
      </c>
    </row>
    <row r="54" spans="1:5" ht="15">
      <c r="A54" s="377" t="s">
        <v>524</v>
      </c>
      <c r="C54" s="398" t="s">
        <v>573</v>
      </c>
      <c r="D54" s="399"/>
      <c r="E54" s="380">
        <v>0.45887249327151247</v>
      </c>
    </row>
    <row r="55" spans="1:5" ht="15">
      <c r="A55" s="405"/>
      <c r="B55" s="375" t="s">
        <v>502</v>
      </c>
      <c r="C55" s="398" t="s">
        <v>574</v>
      </c>
      <c r="D55" s="399"/>
      <c r="E55" s="383">
        <v>0</v>
      </c>
    </row>
    <row r="56" spans="1:5" ht="15">
      <c r="A56" s="405"/>
      <c r="B56" s="375" t="s">
        <v>503</v>
      </c>
      <c r="C56" s="398" t="s">
        <v>575</v>
      </c>
      <c r="D56" s="399"/>
      <c r="E56" s="379">
        <v>0.45887249327151247</v>
      </c>
    </row>
    <row r="57" spans="1:5" s="376" customFormat="1" ht="15">
      <c r="A57" s="405"/>
      <c r="B57" s="377"/>
      <c r="C57" s="406"/>
      <c r="D57" s="397"/>
      <c r="E57" s="384"/>
    </row>
    <row r="58" spans="1:5" ht="15">
      <c r="A58" s="376" t="s">
        <v>622</v>
      </c>
      <c r="E58" s="384">
        <f>556.249493971758-G21+E20+E26</f>
        <v>597.1168874088085</v>
      </c>
    </row>
    <row r="59" spans="1:5" ht="15">
      <c r="A59" s="405"/>
      <c r="B59" s="375"/>
      <c r="C59" s="398"/>
      <c r="D59" s="399"/>
      <c r="E59" s="383"/>
    </row>
    <row r="60" spans="1:5" ht="15">
      <c r="A60" s="407" t="s">
        <v>576</v>
      </c>
      <c r="B60" s="408"/>
      <c r="C60" s="409">
        <v>5</v>
      </c>
      <c r="D60" s="400">
        <v>9</v>
      </c>
      <c r="E60" s="410">
        <v>-2.0561185110790743</v>
      </c>
    </row>
    <row r="61" spans="1:5" ht="15">
      <c r="A61" s="411"/>
      <c r="B61" s="412" t="s">
        <v>577</v>
      </c>
      <c r="C61" s="413" t="s">
        <v>578</v>
      </c>
      <c r="E61" s="379">
        <v>-15.737997218576623</v>
      </c>
    </row>
    <row r="62" spans="1:5" ht="15">
      <c r="A62" s="411"/>
      <c r="B62" s="412" t="s">
        <v>580</v>
      </c>
      <c r="C62" s="413" t="s">
        <v>581</v>
      </c>
      <c r="E62" s="379">
        <v>15.258327815977314</v>
      </c>
    </row>
    <row r="63" spans="1:5" ht="15">
      <c r="A63" s="411"/>
      <c r="B63" s="412" t="s">
        <v>582</v>
      </c>
      <c r="C63" s="413" t="s">
        <v>583</v>
      </c>
      <c r="E63" s="379">
        <v>-7.934292707554431</v>
      </c>
    </row>
    <row r="64" spans="1:5" ht="15">
      <c r="A64" s="411"/>
      <c r="B64" s="412" t="s">
        <v>584</v>
      </c>
      <c r="C64" s="413" t="s">
        <v>585</v>
      </c>
      <c r="E64" s="381" t="s">
        <v>579</v>
      </c>
    </row>
    <row r="65" spans="1:5" ht="15">
      <c r="A65" s="411"/>
      <c r="B65" s="412" t="s">
        <v>586</v>
      </c>
      <c r="C65" s="413" t="s">
        <v>587</v>
      </c>
      <c r="E65" s="379">
        <v>6.2615633176333585</v>
      </c>
    </row>
    <row r="66" spans="1:5" ht="15">
      <c r="A66" s="411"/>
      <c r="B66" s="412" t="s">
        <v>588</v>
      </c>
      <c r="C66" s="413" t="s">
        <v>589</v>
      </c>
      <c r="E66" s="381" t="s">
        <v>579</v>
      </c>
    </row>
    <row r="67" spans="1:5" ht="15">
      <c r="A67" s="411"/>
      <c r="B67" s="412" t="s">
        <v>619</v>
      </c>
      <c r="C67" s="413" t="s">
        <v>590</v>
      </c>
      <c r="E67" s="379">
        <v>0.0962802814413073</v>
      </c>
    </row>
    <row r="68" spans="1:5" ht="15">
      <c r="A68" s="411"/>
      <c r="B68" s="413"/>
      <c r="C68" s="413"/>
      <c r="E68" s="379"/>
    </row>
    <row r="69" ht="15">
      <c r="E69" s="417"/>
    </row>
    <row r="70" ht="15">
      <c r="E70" s="415"/>
    </row>
    <row r="71" spans="1:5" ht="15">
      <c r="A71" s="378" t="s">
        <v>620</v>
      </c>
      <c r="B71" s="419"/>
      <c r="E71" s="415"/>
    </row>
    <row r="72" spans="1:5" ht="15">
      <c r="A72" s="378"/>
      <c r="B72" s="419"/>
      <c r="E72" s="415"/>
    </row>
    <row r="73" spans="1:5" ht="15">
      <c r="A73" s="378">
        <v>1</v>
      </c>
      <c r="B73" s="420" t="s">
        <v>599</v>
      </c>
      <c r="E73" s="415"/>
    </row>
    <row r="74" spans="1:5" ht="18">
      <c r="A74" s="378"/>
      <c r="B74" s="420" t="s">
        <v>621</v>
      </c>
      <c r="E74" s="415"/>
    </row>
    <row r="75" spans="1:5" ht="15">
      <c r="A75" s="378"/>
      <c r="B75" s="420" t="s">
        <v>600</v>
      </c>
      <c r="E75" s="415"/>
    </row>
    <row r="76" spans="1:5" ht="15">
      <c r="A76" s="378">
        <v>2</v>
      </c>
      <c r="B76" s="421" t="s">
        <v>601</v>
      </c>
      <c r="E76" s="415"/>
    </row>
    <row r="77" spans="1:5" ht="15">
      <c r="A77" s="378">
        <v>3</v>
      </c>
      <c r="B77" s="422" t="s">
        <v>602</v>
      </c>
      <c r="E77" s="415"/>
    </row>
    <row r="78" spans="1:5" ht="15">
      <c r="A78" s="378">
        <v>4</v>
      </c>
      <c r="B78" s="423" t="s">
        <v>603</v>
      </c>
      <c r="E78" s="415"/>
    </row>
    <row r="79" spans="1:5" ht="15">
      <c r="A79" s="378">
        <v>5</v>
      </c>
      <c r="B79" s="378" t="s">
        <v>604</v>
      </c>
      <c r="E79" s="415"/>
    </row>
    <row r="80" spans="1:5" ht="15">
      <c r="A80" s="378">
        <v>6</v>
      </c>
      <c r="B80" s="424" t="s">
        <v>605</v>
      </c>
      <c r="E80" s="415"/>
    </row>
    <row r="81" spans="1:5" ht="15">
      <c r="A81" s="378">
        <v>7</v>
      </c>
      <c r="B81" s="378" t="s">
        <v>606</v>
      </c>
      <c r="E81" s="415"/>
    </row>
    <row r="82" spans="1:5" ht="15">
      <c r="A82" s="378">
        <v>8</v>
      </c>
      <c r="B82" s="398" t="s">
        <v>607</v>
      </c>
      <c r="E82" s="415"/>
    </row>
    <row r="83" spans="1:5" ht="15">
      <c r="A83" s="378">
        <v>9</v>
      </c>
      <c r="B83" s="398" t="s">
        <v>608</v>
      </c>
      <c r="E83" s="415"/>
    </row>
    <row r="84" spans="1:5" ht="15">
      <c r="A84" s="378">
        <v>10</v>
      </c>
      <c r="B84" s="398" t="s">
        <v>609</v>
      </c>
      <c r="E84" s="415"/>
    </row>
    <row r="85" spans="1:5" ht="15">
      <c r="A85" s="378">
        <v>11</v>
      </c>
      <c r="B85" s="425" t="s">
        <v>610</v>
      </c>
      <c r="E85" s="415"/>
    </row>
    <row r="86" spans="1:5" ht="15">
      <c r="A86" s="378">
        <v>12</v>
      </c>
      <c r="B86" s="424" t="s">
        <v>611</v>
      </c>
      <c r="E86" s="415"/>
    </row>
    <row r="87" spans="1:5" ht="15">
      <c r="A87" s="378">
        <v>13</v>
      </c>
      <c r="B87" s="424" t="s">
        <v>612</v>
      </c>
      <c r="E87" s="415"/>
    </row>
    <row r="88" spans="1:5" ht="15">
      <c r="A88" s="378">
        <v>14</v>
      </c>
      <c r="B88" s="424" t="s">
        <v>613</v>
      </c>
      <c r="E88" s="415"/>
    </row>
    <row r="89" spans="1:5" ht="15">
      <c r="A89" s="378"/>
      <c r="B89" s="424"/>
      <c r="E89" s="415"/>
    </row>
    <row r="90" spans="1:5" ht="15">
      <c r="A90" s="426" t="s">
        <v>614</v>
      </c>
      <c r="B90" s="425"/>
      <c r="E90" s="415"/>
    </row>
    <row r="91" spans="1:5" ht="15">
      <c r="A91" s="427" t="s">
        <v>615</v>
      </c>
      <c r="B91" s="428"/>
      <c r="C91" s="428"/>
      <c r="D91" s="416"/>
      <c r="E91" s="383"/>
    </row>
    <row r="93" ht="15">
      <c r="A93" s="429" t="s">
        <v>616</v>
      </c>
    </row>
    <row r="94" ht="15">
      <c r="A94" s="429" t="s">
        <v>617</v>
      </c>
    </row>
    <row r="95" ht="15">
      <c r="A95" s="429" t="s">
        <v>618</v>
      </c>
    </row>
  </sheetData>
  <dataValidations count="1">
    <dataValidation allowBlank="1" showInputMessage="1" showErrorMessage="1" sqref="A60 B61:B67"/>
  </dataValidations>
  <printOptions horizontalCentered="1"/>
  <pageMargins left="0.4330708661417323" right="0.4724409448818898" top="0.1968503937007874" bottom="0.2362204724409449" header="0.15748031496062992" footer="0.2755905511811024"/>
  <pageSetup fitToHeight="1" fitToWidth="1" horizontalDpi="600" verticalDpi="600" orientation="portrait" paperSize="9" scale="35" r:id="rId1"/>
</worksheet>
</file>

<file path=xl/worksheets/sheet8.xml><?xml version="1.0" encoding="utf-8"?>
<worksheet xmlns="http://schemas.openxmlformats.org/spreadsheetml/2006/main" xmlns:r="http://schemas.openxmlformats.org/officeDocument/2006/relationships">
  <dimension ref="A1:Y91"/>
  <sheetViews>
    <sheetView workbookViewId="0" topLeftCell="A1">
      <selection activeCell="A1" sqref="A1:L1"/>
    </sheetView>
  </sheetViews>
  <sheetFormatPr defaultColWidth="9.140625" defaultRowHeight="12.75"/>
  <cols>
    <col min="1" max="1" width="12.28125" style="336" bestFit="1" customWidth="1"/>
    <col min="2" max="2" width="7.28125" style="336" bestFit="1" customWidth="1"/>
    <col min="3" max="3" width="7.421875" style="336" bestFit="1" customWidth="1"/>
    <col min="4" max="4" width="8.00390625" style="336" bestFit="1" customWidth="1"/>
    <col min="5" max="5" width="7.421875" style="336" bestFit="1" customWidth="1"/>
    <col min="6" max="7" width="6.28125" style="336" bestFit="1" customWidth="1"/>
    <col min="8" max="8" width="9.28125" style="336" bestFit="1" customWidth="1"/>
    <col min="9" max="9" width="10.421875" style="336" bestFit="1" customWidth="1"/>
    <col min="10" max="10" width="8.00390625" style="336" bestFit="1" customWidth="1"/>
    <col min="11" max="11" width="6.28125" style="336" bestFit="1" customWidth="1"/>
    <col min="12" max="12" width="8.00390625" style="336" bestFit="1" customWidth="1"/>
    <col min="13" max="13" width="2.140625" style="336" customWidth="1"/>
    <col min="14" max="14" width="12.28125" style="336" customWidth="1"/>
    <col min="15" max="15" width="6.7109375" style="336" customWidth="1"/>
    <col min="16" max="16" width="5.7109375" style="336" customWidth="1"/>
    <col min="17" max="17" width="8.00390625" style="336" customWidth="1"/>
    <col min="18" max="18" width="5.7109375" style="336" customWidth="1"/>
    <col min="19" max="19" width="6.28125" style="336" customWidth="1"/>
    <col min="20" max="20" width="5.140625" style="336" customWidth="1"/>
    <col min="21" max="21" width="9.28125" style="336" customWidth="1"/>
    <col min="22" max="22" width="10.421875" style="336" customWidth="1"/>
    <col min="23" max="23" width="8.00390625" style="336" customWidth="1"/>
    <col min="24" max="24" width="4.7109375" style="336" customWidth="1"/>
    <col min="25" max="25" width="5.57421875" style="336" customWidth="1"/>
    <col min="26" max="16384" width="12.140625" style="336" customWidth="1"/>
  </cols>
  <sheetData>
    <row r="1" spans="1:25" ht="22.5">
      <c r="A1" s="712" t="s">
        <v>439</v>
      </c>
      <c r="B1" s="712"/>
      <c r="C1" s="712"/>
      <c r="D1" s="712"/>
      <c r="E1" s="712"/>
      <c r="F1" s="712"/>
      <c r="G1" s="712"/>
      <c r="H1" s="712"/>
      <c r="I1" s="712"/>
      <c r="J1" s="712"/>
      <c r="K1" s="712"/>
      <c r="L1" s="712"/>
      <c r="N1" s="712" t="s">
        <v>440</v>
      </c>
      <c r="O1" s="712"/>
      <c r="P1" s="712"/>
      <c r="Q1" s="712"/>
      <c r="R1" s="712"/>
      <c r="S1" s="712"/>
      <c r="T1" s="712"/>
      <c r="U1" s="712"/>
      <c r="V1" s="712"/>
      <c r="W1" s="712"/>
      <c r="X1" s="712"/>
      <c r="Y1" s="712"/>
    </row>
    <row r="4" spans="1:14" ht="12.75">
      <c r="A4" s="337" t="s">
        <v>441</v>
      </c>
      <c r="N4" s="337" t="s">
        <v>441</v>
      </c>
    </row>
    <row r="5" spans="1:25" ht="9.75" customHeight="1">
      <c r="A5" s="724" t="s">
        <v>442</v>
      </c>
      <c r="B5" s="721" t="s">
        <v>109</v>
      </c>
      <c r="C5" s="339" t="s">
        <v>404</v>
      </c>
      <c r="D5" s="339" t="s">
        <v>405</v>
      </c>
      <c r="E5" s="721" t="s">
        <v>110</v>
      </c>
      <c r="F5" s="721" t="s">
        <v>3</v>
      </c>
      <c r="G5" s="721" t="s">
        <v>403</v>
      </c>
      <c r="H5" s="339" t="s">
        <v>406</v>
      </c>
      <c r="I5" s="339" t="s">
        <v>408</v>
      </c>
      <c r="J5" s="721" t="s">
        <v>7</v>
      </c>
      <c r="K5" s="721" t="s">
        <v>204</v>
      </c>
      <c r="L5" s="721" t="s">
        <v>16</v>
      </c>
      <c r="N5" s="727" t="s">
        <v>442</v>
      </c>
      <c r="O5" s="721" t="s">
        <v>109</v>
      </c>
      <c r="P5" s="339" t="s">
        <v>404</v>
      </c>
      <c r="Q5" s="339" t="s">
        <v>405</v>
      </c>
      <c r="R5" s="721" t="s">
        <v>110</v>
      </c>
      <c r="S5" s="721" t="s">
        <v>3</v>
      </c>
      <c r="T5" s="721" t="s">
        <v>403</v>
      </c>
      <c r="U5" s="339" t="s">
        <v>406</v>
      </c>
      <c r="V5" s="339" t="s">
        <v>408</v>
      </c>
      <c r="W5" s="721" t="s">
        <v>7</v>
      </c>
      <c r="X5" s="721" t="s">
        <v>204</v>
      </c>
      <c r="Y5" s="721" t="s">
        <v>16</v>
      </c>
    </row>
    <row r="6" spans="1:25" ht="9.75" customHeight="1">
      <c r="A6" s="725"/>
      <c r="B6" s="722"/>
      <c r="C6" s="341" t="s">
        <v>335</v>
      </c>
      <c r="D6" s="341" t="s">
        <v>140</v>
      </c>
      <c r="E6" s="722"/>
      <c r="F6" s="722"/>
      <c r="G6" s="722"/>
      <c r="H6" s="341" t="s">
        <v>407</v>
      </c>
      <c r="I6" s="341" t="s">
        <v>409</v>
      </c>
      <c r="J6" s="722"/>
      <c r="K6" s="722"/>
      <c r="L6" s="722"/>
      <c r="N6" s="728"/>
      <c r="O6" s="722"/>
      <c r="P6" s="341" t="s">
        <v>335</v>
      </c>
      <c r="Q6" s="341" t="s">
        <v>140</v>
      </c>
      <c r="R6" s="722"/>
      <c r="S6" s="722"/>
      <c r="T6" s="722"/>
      <c r="U6" s="341" t="s">
        <v>407</v>
      </c>
      <c r="V6" s="341" t="s">
        <v>409</v>
      </c>
      <c r="W6" s="722"/>
      <c r="X6" s="722"/>
      <c r="Y6" s="722"/>
    </row>
    <row r="7" spans="1:25" ht="9.75" customHeight="1">
      <c r="A7" s="726"/>
      <c r="B7" s="723"/>
      <c r="C7" s="344"/>
      <c r="D7" s="344"/>
      <c r="E7" s="723"/>
      <c r="F7" s="723"/>
      <c r="G7" s="723"/>
      <c r="H7" s="344"/>
      <c r="I7" s="343" t="s">
        <v>410</v>
      </c>
      <c r="J7" s="723"/>
      <c r="K7" s="723"/>
      <c r="L7" s="723"/>
      <c r="N7" s="729"/>
      <c r="O7" s="723"/>
      <c r="P7" s="344"/>
      <c r="Q7" s="344"/>
      <c r="R7" s="723"/>
      <c r="S7" s="723"/>
      <c r="T7" s="723"/>
      <c r="U7" s="344"/>
      <c r="V7" s="343" t="s">
        <v>410</v>
      </c>
      <c r="W7" s="723"/>
      <c r="X7" s="723"/>
      <c r="Y7" s="723"/>
    </row>
    <row r="8" spans="1:25" ht="8.25">
      <c r="A8" s="345" t="s">
        <v>443</v>
      </c>
      <c r="B8" s="346">
        <v>3681.3209549071616</v>
      </c>
      <c r="C8" s="346">
        <v>5336.371352785146</v>
      </c>
      <c r="D8" s="346">
        <v>-308.8129973474801</v>
      </c>
      <c r="E8" s="346">
        <v>3059.6206896551726</v>
      </c>
      <c r="F8" s="346">
        <v>947.0358090185676</v>
      </c>
      <c r="G8" s="346">
        <v>320.2665782493369</v>
      </c>
      <c r="H8" s="346">
        <v>75.89124668435014</v>
      </c>
      <c r="I8" s="346">
        <v>1555.7254641909815</v>
      </c>
      <c r="J8" s="346">
        <v>-0.5557029177718833</v>
      </c>
      <c r="K8" s="346">
        <v>0.8262599469496021</v>
      </c>
      <c r="L8" s="346">
        <v>14884.984084880636</v>
      </c>
      <c r="N8" s="347" t="s">
        <v>443</v>
      </c>
      <c r="O8" s="346">
        <v>49.712201591511935</v>
      </c>
      <c r="P8" s="346">
        <v>128.71087533156498</v>
      </c>
      <c r="Q8" s="346">
        <v>-17.751989389920425</v>
      </c>
      <c r="R8" s="346">
        <v>115.86604774535809</v>
      </c>
      <c r="S8" s="346">
        <v>27.649867374005304</v>
      </c>
      <c r="T8" s="346">
        <v>0.5623342175066313</v>
      </c>
      <c r="U8" s="346">
        <v>0.2546419098143236</v>
      </c>
      <c r="V8" s="346">
        <v>4.072944297082228</v>
      </c>
      <c r="W8" s="346">
        <v>0.8541114058355438</v>
      </c>
      <c r="X8" s="346">
        <v>0</v>
      </c>
      <c r="Y8" s="346">
        <v>309.93236074270555</v>
      </c>
    </row>
    <row r="9" spans="1:25" ht="9" customHeight="1">
      <c r="A9" s="345" t="s">
        <v>444</v>
      </c>
      <c r="B9" s="346">
        <v>36.4456233421751</v>
      </c>
      <c r="C9" s="346">
        <v>8.828912466843502</v>
      </c>
      <c r="D9" s="346">
        <v>709.2997347480106</v>
      </c>
      <c r="E9" s="346">
        <v>145.09549071618036</v>
      </c>
      <c r="F9" s="346">
        <v>0</v>
      </c>
      <c r="G9" s="346">
        <v>0</v>
      </c>
      <c r="H9" s="346">
        <v>0</v>
      </c>
      <c r="I9" s="346">
        <v>0.6989389920424404</v>
      </c>
      <c r="J9" s="346">
        <v>0</v>
      </c>
      <c r="K9" s="346">
        <v>0</v>
      </c>
      <c r="L9" s="346">
        <v>900.3700265251989</v>
      </c>
      <c r="N9" s="347" t="s">
        <v>444</v>
      </c>
      <c r="O9" s="346">
        <v>0</v>
      </c>
      <c r="P9" s="346">
        <v>0</v>
      </c>
      <c r="Q9" s="346">
        <v>14.258620689655173</v>
      </c>
      <c r="R9" s="346">
        <v>1.0278514588859415</v>
      </c>
      <c r="S9" s="346">
        <v>0</v>
      </c>
      <c r="T9" s="346">
        <v>0</v>
      </c>
      <c r="U9" s="346">
        <v>0</v>
      </c>
      <c r="V9" s="346">
        <v>0</v>
      </c>
      <c r="W9" s="346">
        <v>0</v>
      </c>
      <c r="X9" s="346">
        <v>0</v>
      </c>
      <c r="Y9" s="346">
        <v>15.286472148541113</v>
      </c>
    </row>
    <row r="10" spans="1:25" ht="12" customHeight="1">
      <c r="A10" s="346" t="s">
        <v>445</v>
      </c>
      <c r="B10" s="346">
        <f aca="true" t="shared" si="0" ref="B10:L10">B8-B9</f>
        <v>3644.8753315649865</v>
      </c>
      <c r="C10" s="346">
        <f t="shared" si="0"/>
        <v>5327.542440318302</v>
      </c>
      <c r="D10" s="346">
        <f t="shared" si="0"/>
        <v>-1018.1127320954906</v>
      </c>
      <c r="E10" s="346">
        <f t="shared" si="0"/>
        <v>2914.525198938992</v>
      </c>
      <c r="F10" s="346">
        <f t="shared" si="0"/>
        <v>947.0358090185676</v>
      </c>
      <c r="G10" s="346">
        <f t="shared" si="0"/>
        <v>320.2665782493369</v>
      </c>
      <c r="H10" s="346">
        <f t="shared" si="0"/>
        <v>75.89124668435014</v>
      </c>
      <c r="I10" s="346">
        <f t="shared" si="0"/>
        <v>1555.026525198939</v>
      </c>
      <c r="J10" s="346">
        <f t="shared" si="0"/>
        <v>-0.5557029177718833</v>
      </c>
      <c r="K10" s="346">
        <f t="shared" si="0"/>
        <v>0.8262599469496021</v>
      </c>
      <c r="L10" s="346">
        <f t="shared" si="0"/>
        <v>13984.614058355437</v>
      </c>
      <c r="N10" s="347" t="s">
        <v>445</v>
      </c>
      <c r="O10" s="346">
        <f aca="true" t="shared" si="1" ref="O10:Y10">O8-O9</f>
        <v>49.712201591511935</v>
      </c>
      <c r="P10" s="346">
        <f t="shared" si="1"/>
        <v>128.71087533156498</v>
      </c>
      <c r="Q10" s="346">
        <f t="shared" si="1"/>
        <v>-32.0106100795756</v>
      </c>
      <c r="R10" s="346">
        <f t="shared" si="1"/>
        <v>114.83819628647214</v>
      </c>
      <c r="S10" s="346">
        <f t="shared" si="1"/>
        <v>27.649867374005304</v>
      </c>
      <c r="T10" s="346">
        <f t="shared" si="1"/>
        <v>0.5623342175066313</v>
      </c>
      <c r="U10" s="346">
        <f t="shared" si="1"/>
        <v>0.2546419098143236</v>
      </c>
      <c r="V10" s="346">
        <f t="shared" si="1"/>
        <v>4.072944297082228</v>
      </c>
      <c r="W10" s="346">
        <f t="shared" si="1"/>
        <v>0.8541114058355438</v>
      </c>
      <c r="X10" s="346">
        <f t="shared" si="1"/>
        <v>0</v>
      </c>
      <c r="Y10" s="346">
        <f t="shared" si="1"/>
        <v>294.64588859416443</v>
      </c>
    </row>
    <row r="11" spans="1:25" ht="8.25">
      <c r="A11" s="348"/>
      <c r="B11" s="348">
        <v>2157.368700265252</v>
      </c>
      <c r="C11" s="348">
        <v>26.79973474801061</v>
      </c>
      <c r="D11" s="348">
        <v>299.2347480106101</v>
      </c>
      <c r="E11" s="348">
        <v>650.6140583554377</v>
      </c>
      <c r="F11" s="348">
        <v>931.1206896551724</v>
      </c>
      <c r="G11" s="348">
        <v>320.2665782493369</v>
      </c>
      <c r="H11" s="348">
        <v>64.14721485411141</v>
      </c>
      <c r="I11" s="348">
        <v>46.55570291777188</v>
      </c>
      <c r="J11" s="348">
        <v>-1773.2679045092839</v>
      </c>
      <c r="K11" s="348">
        <v>0.2625994694960212</v>
      </c>
      <c r="L11" s="348">
        <v>2723.100795755968</v>
      </c>
      <c r="N11" s="347" t="s">
        <v>415</v>
      </c>
      <c r="O11" s="348">
        <v>40.53183023872679</v>
      </c>
      <c r="P11" s="348">
        <v>0</v>
      </c>
      <c r="Q11" s="348">
        <v>0.47480106100795755</v>
      </c>
      <c r="R11" s="348">
        <v>30.572944297082227</v>
      </c>
      <c r="S11" s="348">
        <v>27.649867374005304</v>
      </c>
      <c r="T11" s="348">
        <v>0.5623342175066313</v>
      </c>
      <c r="U11" s="348">
        <v>0.22148541114058357</v>
      </c>
      <c r="V11" s="348">
        <v>2.9310344827586206</v>
      </c>
      <c r="W11" s="348">
        <v>-41.70159151193634</v>
      </c>
      <c r="X11" s="348">
        <v>0</v>
      </c>
      <c r="Y11" s="348">
        <v>61.244031830238725</v>
      </c>
    </row>
    <row r="12" spans="1:25" ht="12" customHeight="1">
      <c r="A12" s="348"/>
      <c r="B12" s="348">
        <v>671.7175066312997</v>
      </c>
      <c r="C12" s="348">
        <v>5295.2984084880645</v>
      </c>
      <c r="D12" s="348">
        <v>-4879.454907161804</v>
      </c>
      <c r="E12" s="348">
        <v>788.2201591511936</v>
      </c>
      <c r="F12" s="348">
        <v>15.916445623342176</v>
      </c>
      <c r="G12" s="348">
        <v>0</v>
      </c>
      <c r="H12" s="348">
        <v>1.6286472148541113</v>
      </c>
      <c r="I12" s="348">
        <v>120.07957559681698</v>
      </c>
      <c r="J12" s="348">
        <v>130.08885941644562</v>
      </c>
      <c r="K12" s="348">
        <v>-337.35676392572947</v>
      </c>
      <c r="L12" s="348">
        <v>1806.1366047745357</v>
      </c>
      <c r="N12" s="347" t="s">
        <v>446</v>
      </c>
      <c r="O12" s="348">
        <v>5.163129973474801</v>
      </c>
      <c r="P12" s="348">
        <v>128.71220159151193</v>
      </c>
      <c r="Q12" s="348">
        <v>-120.68302387267903</v>
      </c>
      <c r="R12" s="348">
        <v>17.39257294429708</v>
      </c>
      <c r="S12" s="348">
        <v>0</v>
      </c>
      <c r="T12" s="348">
        <v>0</v>
      </c>
      <c r="U12" s="348">
        <v>0</v>
      </c>
      <c r="V12" s="348">
        <v>0.1883289124668435</v>
      </c>
      <c r="W12" s="348">
        <v>3.7705570291777186</v>
      </c>
      <c r="X12" s="348">
        <v>-2.9031830238726792</v>
      </c>
      <c r="Y12" s="348">
        <v>31.641909814323608</v>
      </c>
    </row>
    <row r="13" spans="1:25" ht="8.25">
      <c r="A13" s="345" t="s">
        <v>447</v>
      </c>
      <c r="B13" s="346">
        <v>852.2347480106101</v>
      </c>
      <c r="C13" s="346">
        <v>14.274535809018568</v>
      </c>
      <c r="D13" s="346">
        <v>4271.403183023873</v>
      </c>
      <c r="E13" s="346">
        <v>1620.787798408488</v>
      </c>
      <c r="F13" s="346">
        <v>0</v>
      </c>
      <c r="G13" s="346">
        <v>0</v>
      </c>
      <c r="H13" s="346">
        <v>10.115384615384615</v>
      </c>
      <c r="I13" s="346">
        <v>1389.0915119363394</v>
      </c>
      <c r="J13" s="346">
        <v>1642.6246684350133</v>
      </c>
      <c r="K13" s="346">
        <v>337.91909814323606</v>
      </c>
      <c r="L13" s="346">
        <v>10138.449602122017</v>
      </c>
      <c r="N13" s="347" t="s">
        <v>447</v>
      </c>
      <c r="O13" s="346">
        <v>4.017241379310345</v>
      </c>
      <c r="P13" s="346">
        <v>0</v>
      </c>
      <c r="Q13" s="346">
        <v>102.45490716180372</v>
      </c>
      <c r="R13" s="346">
        <v>67.90053050397879</v>
      </c>
      <c r="S13" s="346">
        <v>0</v>
      </c>
      <c r="T13" s="346">
        <v>0</v>
      </c>
      <c r="U13" s="346">
        <v>0.033156498673740056</v>
      </c>
      <c r="V13" s="346">
        <v>0.9535809018567639</v>
      </c>
      <c r="W13" s="346">
        <v>38.785145888594165</v>
      </c>
      <c r="X13" s="346">
        <v>2.9031830238726792</v>
      </c>
      <c r="Y13" s="346">
        <v>217.04641909814325</v>
      </c>
    </row>
    <row r="14" spans="1:25" ht="9" customHeight="1">
      <c r="A14" s="345" t="s">
        <v>448</v>
      </c>
      <c r="B14" s="346">
        <v>658.2811671087533</v>
      </c>
      <c r="C14" s="346">
        <v>4.941644562334218</v>
      </c>
      <c r="D14" s="346">
        <v>423.2745358090186</v>
      </c>
      <c r="E14" s="346">
        <v>607.1153846153846</v>
      </c>
      <c r="F14" s="346">
        <v>0</v>
      </c>
      <c r="G14" s="346">
        <v>0</v>
      </c>
      <c r="H14" s="346">
        <v>0</v>
      </c>
      <c r="I14" s="346">
        <v>222.14058355437666</v>
      </c>
      <c r="J14" s="346">
        <v>680.5358090185676</v>
      </c>
      <c r="K14" s="346">
        <v>132.81034482758622</v>
      </c>
      <c r="L14" s="346">
        <v>2729.899204244032</v>
      </c>
      <c r="N14" s="347" t="s">
        <v>12</v>
      </c>
      <c r="O14" s="346">
        <v>2.5915119363395225</v>
      </c>
      <c r="P14" s="346">
        <v>0</v>
      </c>
      <c r="Q14" s="346">
        <v>10.49867374005305</v>
      </c>
      <c r="R14" s="346">
        <v>14.90185676392573</v>
      </c>
      <c r="S14" s="346">
        <v>0</v>
      </c>
      <c r="T14" s="346">
        <v>0</v>
      </c>
      <c r="U14" s="346">
        <v>0</v>
      </c>
      <c r="V14" s="346">
        <v>0.3779840848806366</v>
      </c>
      <c r="W14" s="346">
        <v>13.362068965517242</v>
      </c>
      <c r="X14" s="346">
        <v>1.6405835543766578</v>
      </c>
      <c r="Y14" s="346">
        <v>43.37135278514589</v>
      </c>
    </row>
    <row r="15" spans="1:25" ht="9" customHeight="1">
      <c r="A15" s="345" t="s">
        <v>449</v>
      </c>
      <c r="B15" s="346">
        <v>6.071618037135279</v>
      </c>
      <c r="C15" s="346">
        <v>0.04907161803713528</v>
      </c>
      <c r="D15" s="346">
        <v>2472.600795755968</v>
      </c>
      <c r="E15" s="346">
        <v>90.33023872679045</v>
      </c>
      <c r="F15" s="346">
        <v>0</v>
      </c>
      <c r="G15" s="346">
        <v>0</v>
      </c>
      <c r="H15" s="346">
        <v>0</v>
      </c>
      <c r="I15" s="346">
        <v>20.478779840848805</v>
      </c>
      <c r="J15" s="346">
        <v>29.110079575596817</v>
      </c>
      <c r="K15" s="346">
        <v>0.11936339522546419</v>
      </c>
      <c r="L15" s="346">
        <v>2618.7586206896553</v>
      </c>
      <c r="N15" s="347" t="s">
        <v>450</v>
      </c>
      <c r="O15" s="346">
        <v>0</v>
      </c>
      <c r="P15" s="346">
        <v>0</v>
      </c>
      <c r="Q15" s="346">
        <v>71.78381962864721</v>
      </c>
      <c r="R15" s="346">
        <v>0</v>
      </c>
      <c r="S15" s="346">
        <v>0</v>
      </c>
      <c r="T15" s="346">
        <v>0</v>
      </c>
      <c r="U15" s="346">
        <v>0</v>
      </c>
      <c r="V15" s="346">
        <v>0.021220159151193633</v>
      </c>
      <c r="W15" s="346">
        <v>0.916445623342175</v>
      </c>
      <c r="X15" s="346">
        <v>0</v>
      </c>
      <c r="Y15" s="346">
        <v>72.72015915119363</v>
      </c>
    </row>
    <row r="16" spans="1:25" ht="8.25">
      <c r="A16" s="349" t="s">
        <v>425</v>
      </c>
      <c r="B16" s="348">
        <v>99.04641909814323</v>
      </c>
      <c r="C16" s="348">
        <v>0</v>
      </c>
      <c r="D16" s="348">
        <v>320.45092838196285</v>
      </c>
      <c r="E16" s="348">
        <v>536.8846153846154</v>
      </c>
      <c r="F16" s="348">
        <v>0</v>
      </c>
      <c r="G16" s="348">
        <v>0</v>
      </c>
      <c r="H16" s="348">
        <v>0</v>
      </c>
      <c r="I16" s="348">
        <v>1095.1153846153845</v>
      </c>
      <c r="J16" s="348">
        <v>461.62997347480103</v>
      </c>
      <c r="K16" s="348">
        <v>157.72944297082228</v>
      </c>
      <c r="L16" s="348">
        <v>2678.372679045093</v>
      </c>
      <c r="N16" s="347" t="s">
        <v>425</v>
      </c>
      <c r="O16" s="348">
        <v>1.3660477453580901</v>
      </c>
      <c r="P16" s="348">
        <v>0</v>
      </c>
      <c r="Q16" s="348">
        <v>3.90053050397878</v>
      </c>
      <c r="R16" s="348">
        <v>40.6737400530504</v>
      </c>
      <c r="S16" s="348">
        <v>0</v>
      </c>
      <c r="T16" s="348">
        <v>0</v>
      </c>
      <c r="U16" s="348">
        <v>0</v>
      </c>
      <c r="V16" s="348">
        <v>0.29973474801061006</v>
      </c>
      <c r="W16" s="348">
        <v>13.176392572944296</v>
      </c>
      <c r="X16" s="348">
        <v>0.06896551724137931</v>
      </c>
      <c r="Y16" s="348">
        <v>59.48541114058355</v>
      </c>
    </row>
    <row r="17" spans="1:25" ht="16.5">
      <c r="A17" s="349" t="s">
        <v>426</v>
      </c>
      <c r="B17" s="348">
        <v>20.189655172413794</v>
      </c>
      <c r="C17" s="348">
        <v>0</v>
      </c>
      <c r="D17" s="348">
        <v>156.90450928381964</v>
      </c>
      <c r="E17" s="348">
        <v>199.07427055702917</v>
      </c>
      <c r="F17" s="348">
        <v>0</v>
      </c>
      <c r="G17" s="348">
        <v>0</v>
      </c>
      <c r="H17" s="348">
        <v>0</v>
      </c>
      <c r="I17" s="348">
        <v>9.315649867374006</v>
      </c>
      <c r="J17" s="348">
        <v>377.5</v>
      </c>
      <c r="K17" s="348">
        <v>27.663129973474803</v>
      </c>
      <c r="L17" s="348">
        <v>791.7758620689655</v>
      </c>
      <c r="N17" s="347" t="s">
        <v>426</v>
      </c>
      <c r="O17" s="348">
        <v>0.046419098143236075</v>
      </c>
      <c r="P17" s="348">
        <v>0</v>
      </c>
      <c r="Q17" s="348">
        <v>1.1180371352785146</v>
      </c>
      <c r="R17" s="348">
        <v>8.917771883289126</v>
      </c>
      <c r="S17" s="348">
        <v>0</v>
      </c>
      <c r="T17" s="348">
        <v>0</v>
      </c>
      <c r="U17" s="348">
        <v>0</v>
      </c>
      <c r="V17" s="348">
        <v>0.14588859416445624</v>
      </c>
      <c r="W17" s="348">
        <v>10.851458885941645</v>
      </c>
      <c r="X17" s="348">
        <v>1.193633952254642</v>
      </c>
      <c r="Y17" s="348">
        <v>22.27320954907162</v>
      </c>
    </row>
    <row r="18" spans="1:25" ht="8.25">
      <c r="A18" s="349"/>
      <c r="B18" s="348">
        <v>19.6657824933687</v>
      </c>
      <c r="C18" s="348">
        <v>0.014588859416445624</v>
      </c>
      <c r="D18" s="348">
        <v>151.05835543766577</v>
      </c>
      <c r="E18" s="348">
        <v>8.591511936339522</v>
      </c>
      <c r="F18" s="348">
        <v>0</v>
      </c>
      <c r="G18" s="348">
        <v>0</v>
      </c>
      <c r="H18" s="348">
        <v>0</v>
      </c>
      <c r="I18" s="348">
        <v>8.771883289124668</v>
      </c>
      <c r="J18" s="348">
        <v>43.47480106100796</v>
      </c>
      <c r="K18" s="348">
        <v>4.885941644562335</v>
      </c>
      <c r="L18" s="348">
        <v>236.72679045092838</v>
      </c>
      <c r="N18" s="347" t="s">
        <v>451</v>
      </c>
      <c r="O18" s="348">
        <v>0.006631299734748011</v>
      </c>
      <c r="P18" s="348">
        <v>0</v>
      </c>
      <c r="Q18" s="348">
        <v>0.34880636604774534</v>
      </c>
      <c r="R18" s="348">
        <v>0.2413793103448276</v>
      </c>
      <c r="S18" s="348">
        <v>0</v>
      </c>
      <c r="T18" s="348">
        <v>0</v>
      </c>
      <c r="U18" s="348">
        <v>0</v>
      </c>
      <c r="V18" s="348">
        <v>0.09814323607427056</v>
      </c>
      <c r="W18" s="348">
        <v>0.47877984084880637</v>
      </c>
      <c r="X18" s="348">
        <v>0</v>
      </c>
      <c r="Y18" s="348">
        <v>1.1750663129973475</v>
      </c>
    </row>
    <row r="19" spans="1:25" ht="8.25">
      <c r="A19" s="349" t="s">
        <v>429</v>
      </c>
      <c r="B19" s="348">
        <v>12.53448275862069</v>
      </c>
      <c r="C19" s="348">
        <v>0.4403183023872679</v>
      </c>
      <c r="D19" s="348">
        <v>37.814323607427056</v>
      </c>
      <c r="E19" s="348">
        <v>33.69628647214854</v>
      </c>
      <c r="F19" s="348">
        <v>0</v>
      </c>
      <c r="G19" s="348">
        <v>0</v>
      </c>
      <c r="H19" s="348">
        <v>0</v>
      </c>
      <c r="I19" s="348">
        <v>32.57029177718833</v>
      </c>
      <c r="J19" s="348">
        <v>50.37533156498674</v>
      </c>
      <c r="K19" s="348">
        <v>14.710875331564987</v>
      </c>
      <c r="L19" s="348">
        <v>182.5477453580902</v>
      </c>
      <c r="N19" s="350" t="s">
        <v>429</v>
      </c>
      <c r="O19" s="348">
        <v>0.006631299734748011</v>
      </c>
      <c r="P19" s="348">
        <v>0</v>
      </c>
      <c r="Q19" s="348">
        <v>0.5450928381962865</v>
      </c>
      <c r="R19" s="348">
        <v>2.1379310344827585</v>
      </c>
      <c r="S19" s="348">
        <v>0</v>
      </c>
      <c r="T19" s="348">
        <v>0</v>
      </c>
      <c r="U19" s="348">
        <v>0.033156498673740056</v>
      </c>
      <c r="V19" s="348">
        <v>0.011936339522546418</v>
      </c>
      <c r="W19" s="348">
        <v>0</v>
      </c>
      <c r="X19" s="348">
        <v>0</v>
      </c>
      <c r="Y19" s="348">
        <v>2.7347480106100797</v>
      </c>
    </row>
    <row r="22" spans="1:14" ht="12.75">
      <c r="A22" s="337" t="s">
        <v>15</v>
      </c>
      <c r="N22" s="337" t="s">
        <v>15</v>
      </c>
    </row>
    <row r="23" spans="1:25" ht="18" customHeight="1">
      <c r="A23" s="338" t="s">
        <v>442</v>
      </c>
      <c r="B23" s="339" t="s">
        <v>109</v>
      </c>
      <c r="C23" s="339" t="s">
        <v>404</v>
      </c>
      <c r="D23" s="339" t="s">
        <v>405</v>
      </c>
      <c r="E23" s="339" t="s">
        <v>110</v>
      </c>
      <c r="F23" s="339" t="s">
        <v>3</v>
      </c>
      <c r="G23" s="339" t="s">
        <v>403</v>
      </c>
      <c r="H23" s="339" t="s">
        <v>406</v>
      </c>
      <c r="I23" s="339" t="s">
        <v>408</v>
      </c>
      <c r="J23" s="339" t="s">
        <v>7</v>
      </c>
      <c r="K23" s="339" t="s">
        <v>204</v>
      </c>
      <c r="L23" s="339" t="s">
        <v>16</v>
      </c>
      <c r="N23" s="338" t="s">
        <v>442</v>
      </c>
      <c r="O23" s="339" t="s">
        <v>109</v>
      </c>
      <c r="P23" s="339" t="s">
        <v>404</v>
      </c>
      <c r="Q23" s="339" t="s">
        <v>405</v>
      </c>
      <c r="R23" s="339" t="s">
        <v>110</v>
      </c>
      <c r="S23" s="339" t="s">
        <v>3</v>
      </c>
      <c r="T23" s="339" t="s">
        <v>403</v>
      </c>
      <c r="U23" s="339" t="s">
        <v>406</v>
      </c>
      <c r="V23" s="339" t="s">
        <v>408</v>
      </c>
      <c r="W23" s="339" t="s">
        <v>7</v>
      </c>
      <c r="X23" s="339" t="s">
        <v>204</v>
      </c>
      <c r="Y23" s="339" t="s">
        <v>16</v>
      </c>
    </row>
    <row r="24" spans="1:25" ht="8.25">
      <c r="A24" s="340"/>
      <c r="B24" s="341"/>
      <c r="C24" s="341" t="s">
        <v>335</v>
      </c>
      <c r="D24" s="341" t="s">
        <v>140</v>
      </c>
      <c r="E24" s="341"/>
      <c r="F24" s="341"/>
      <c r="G24" s="341"/>
      <c r="H24" s="341" t="s">
        <v>407</v>
      </c>
      <c r="I24" s="341" t="s">
        <v>409</v>
      </c>
      <c r="J24" s="341"/>
      <c r="K24" s="341"/>
      <c r="L24" s="341"/>
      <c r="N24" s="340"/>
      <c r="O24" s="341"/>
      <c r="P24" s="341" t="s">
        <v>335</v>
      </c>
      <c r="Q24" s="341" t="s">
        <v>140</v>
      </c>
      <c r="R24" s="341"/>
      <c r="S24" s="341"/>
      <c r="T24" s="341"/>
      <c r="U24" s="341" t="s">
        <v>407</v>
      </c>
      <c r="V24" s="341" t="s">
        <v>409</v>
      </c>
      <c r="W24" s="341"/>
      <c r="X24" s="341"/>
      <c r="Y24" s="341"/>
    </row>
    <row r="25" spans="1:25" ht="8.25">
      <c r="A25" s="342"/>
      <c r="B25" s="343"/>
      <c r="C25" s="344"/>
      <c r="D25" s="344"/>
      <c r="E25" s="343"/>
      <c r="F25" s="343"/>
      <c r="G25" s="343"/>
      <c r="H25" s="344"/>
      <c r="I25" s="343" t="s">
        <v>410</v>
      </c>
      <c r="J25" s="343"/>
      <c r="K25" s="343"/>
      <c r="L25" s="343"/>
      <c r="N25" s="342"/>
      <c r="O25" s="343"/>
      <c r="P25" s="344"/>
      <c r="Q25" s="344"/>
      <c r="R25" s="343"/>
      <c r="S25" s="343"/>
      <c r="T25" s="343"/>
      <c r="U25" s="344"/>
      <c r="V25" s="343" t="s">
        <v>410</v>
      </c>
      <c r="W25" s="343"/>
      <c r="X25" s="343"/>
      <c r="Y25" s="343"/>
    </row>
    <row r="26" spans="1:25" ht="8.25">
      <c r="A26" s="349" t="s">
        <v>411</v>
      </c>
      <c r="B26" s="348">
        <f>'Appendix - World Energy 2004'!B62/754</f>
        <v>3647.4336870026527</v>
      </c>
      <c r="C26" s="348">
        <f>'Appendix - World Energy 2004'!C62/754</f>
        <v>5246.213527851459</v>
      </c>
      <c r="D26" s="348">
        <f>'Appendix - World Energy 2004'!D62/754</f>
        <v>0</v>
      </c>
      <c r="E26" s="348">
        <f>'Appendix - World Energy 2004'!E62/754</f>
        <v>3077.836870026525</v>
      </c>
      <c r="F26" s="348">
        <f>'Appendix - World Energy 2004'!F62/754</f>
        <v>947.0358090185676</v>
      </c>
      <c r="G26" s="348">
        <f>'Appendix - World Energy 2004'!G62/754</f>
        <v>320.2665782493369</v>
      </c>
      <c r="H26" s="348">
        <f>'Appendix - World Energy 2004'!H62/754</f>
        <v>75.89124668435014</v>
      </c>
      <c r="I26" s="348">
        <f>'Appendix - World Energy 2004'!I62/754</f>
        <v>1556.4058355437667</v>
      </c>
      <c r="J26" s="348">
        <f>'Appendix - World Energy 2004'!J62/754</f>
        <v>0</v>
      </c>
      <c r="K26" s="348">
        <f>'Appendix - World Energy 2004'!K62/754</f>
        <v>0.830238726790451</v>
      </c>
      <c r="L26" s="348">
        <f>'Appendix - World Energy 2004'!L62/754</f>
        <v>14871.913793103447</v>
      </c>
      <c r="N26" s="349" t="s">
        <v>411</v>
      </c>
      <c r="O26" s="348">
        <f>'Appendix - World Energy 2004'!O62/754</f>
        <v>19.781167108753316</v>
      </c>
      <c r="P26" s="348">
        <f>'Appendix - World Energy 2004'!P62/754</f>
        <v>132.07824933687002</v>
      </c>
      <c r="Q26" s="348">
        <f>'Appendix - World Energy 2004'!Q62/754</f>
        <v>0</v>
      </c>
      <c r="R26" s="348">
        <f>'Appendix - World Energy 2004'!R62/754</f>
        <v>114.56366047745358</v>
      </c>
      <c r="S26" s="348">
        <f>'Appendix - World Energy 2004'!S62/754</f>
        <v>27.649867374005304</v>
      </c>
      <c r="T26" s="348">
        <f>'Appendix - World Energy 2004'!T62/754</f>
        <v>0.5623342175066313</v>
      </c>
      <c r="U26" s="348">
        <f>'Appendix - World Energy 2004'!U62/754</f>
        <v>0.2546419098143236</v>
      </c>
      <c r="V26" s="348">
        <f>'Appendix - World Energy 2004'!V62/754</f>
        <v>3.797082228116711</v>
      </c>
      <c r="W26" s="348">
        <f>'Appendix - World Energy 2004'!W62/754</f>
        <v>0</v>
      </c>
      <c r="X26" s="348">
        <f>'Appendix - World Energy 2004'!X62/754</f>
        <v>0</v>
      </c>
      <c r="Y26" s="348">
        <f>'Appendix - World Energy 2004'!Y62/754</f>
        <v>298.68832891246683</v>
      </c>
    </row>
    <row r="27" spans="1:25" ht="8.25">
      <c r="A27" s="349" t="s">
        <v>207</v>
      </c>
      <c r="B27" s="348">
        <f>'Appendix - World Energy 2004'!B63/754</f>
        <v>686.5649867374005</v>
      </c>
      <c r="C27" s="348">
        <f>'Appendix - World Energy 2004'!C63/754</f>
        <v>3018.498673740053</v>
      </c>
      <c r="D27" s="348">
        <f>'Appendix - World Energy 2004'!D63/754</f>
        <v>1119.8992042440318</v>
      </c>
      <c r="E27" s="348">
        <f>'Appendix - World Energy 2004'!E63/754</f>
        <v>883.1710875331565</v>
      </c>
      <c r="F27" s="348">
        <f>'Appendix - World Energy 2004'!F63/754</f>
        <v>0</v>
      </c>
      <c r="G27" s="348">
        <f>'Appendix - World Energy 2004'!G63/754</f>
        <v>0</v>
      </c>
      <c r="H27" s="348">
        <f>'Appendix - World Energy 2004'!H63/754</f>
        <v>0</v>
      </c>
      <c r="I27" s="348">
        <f>'Appendix - World Energy 2004'!I63/754</f>
        <v>2.9323607427055705</v>
      </c>
      <c r="J27" s="348">
        <f>'Appendix - World Energy 2004'!J63/754</f>
        <v>61.771883289124666</v>
      </c>
      <c r="K27" s="348">
        <f>'Appendix - World Energy 2004'!K63/754</f>
        <v>0.005305039787798408</v>
      </c>
      <c r="L27" s="348">
        <f>'Appendix - World Energy 2004'!L63/754</f>
        <v>5772.842175066313</v>
      </c>
      <c r="N27" s="349" t="s">
        <v>207</v>
      </c>
      <c r="O27" s="348">
        <f>'Appendix - World Energy 2004'!O63/754</f>
        <v>30.73740053050398</v>
      </c>
      <c r="P27" s="348">
        <f>'Appendix - World Energy 2004'!P63/754</f>
        <v>85.77984084880637</v>
      </c>
      <c r="Q27" s="348">
        <f>'Appendix - World Energy 2004'!Q63/754</f>
        <v>26.53713527851459</v>
      </c>
      <c r="R27" s="348">
        <f>'Appendix - World Energy 2004'!R63/754</f>
        <v>13.649867374005305</v>
      </c>
      <c r="S27" s="348">
        <f>'Appendix - World Energy 2004'!S63/754</f>
        <v>0</v>
      </c>
      <c r="T27" s="348">
        <f>'Appendix - World Energy 2004'!T63/754</f>
        <v>0</v>
      </c>
      <c r="U27" s="348">
        <f>'Appendix - World Energy 2004'!U63/754</f>
        <v>0</v>
      </c>
      <c r="V27" s="348">
        <f>'Appendix - World Energy 2004'!V63/754</f>
        <v>0.27586206896551724</v>
      </c>
      <c r="W27" s="348">
        <f>'Appendix - World Energy 2004'!W63/754</f>
        <v>1.1153846153846154</v>
      </c>
      <c r="X27" s="348">
        <f>'Appendix - World Energy 2004'!X63/754</f>
        <v>0</v>
      </c>
      <c r="Y27" s="348">
        <f>'Appendix - World Energy 2004'!Y63/754</f>
        <v>158.09549071618036</v>
      </c>
    </row>
    <row r="28" spans="1:25" ht="8.25">
      <c r="A28" s="349" t="s">
        <v>208</v>
      </c>
      <c r="B28" s="348">
        <f>'Appendix - World Energy 2004'!B64/754</f>
        <v>-654.3222811671087</v>
      </c>
      <c r="C28" s="348">
        <f>'Appendix - World Energy 2004'!C64/754</f>
        <v>-2911.8846153846152</v>
      </c>
      <c r="D28" s="348">
        <f>'Appendix - World Energy 2004'!D64/754</f>
        <v>-1207.948275862069</v>
      </c>
      <c r="E28" s="348">
        <f>'Appendix - World Energy 2004'!E64/754</f>
        <v>-889.2201591511937</v>
      </c>
      <c r="F28" s="348">
        <f>'Appendix - World Energy 2004'!F64/754</f>
        <v>0</v>
      </c>
      <c r="G28" s="348">
        <f>'Appendix - World Energy 2004'!G64/754</f>
        <v>0</v>
      </c>
      <c r="H28" s="348">
        <f>'Appendix - World Energy 2004'!H64/754</f>
        <v>0</v>
      </c>
      <c r="I28" s="348">
        <f>'Appendix - World Energy 2004'!I64/754</f>
        <v>-3.8806366047745358</v>
      </c>
      <c r="J28" s="348">
        <f>'Appendix - World Energy 2004'!J64/754</f>
        <v>-62.326259946949605</v>
      </c>
      <c r="K28" s="348">
        <f>'Appendix - World Energy 2004'!K64/754</f>
        <v>-0.009283819628647215</v>
      </c>
      <c r="L28" s="348">
        <f>'Appendix - World Energy 2004'!L64/754</f>
        <v>-5729.592838196287</v>
      </c>
      <c r="N28" s="349" t="s">
        <v>208</v>
      </c>
      <c r="O28" s="348">
        <f>'Appendix - World Energy 2004'!O64/754</f>
        <v>-0.786472148541114</v>
      </c>
      <c r="P28" s="348">
        <f>'Appendix - World Energy 2004'!P64/754</f>
        <v>-88.95623342175067</v>
      </c>
      <c r="Q28" s="348">
        <f>'Appendix - World Energy 2004'!Q64/754</f>
        <v>-40.92705570291777</v>
      </c>
      <c r="R28" s="348">
        <f>'Appendix - World Energy 2004'!R64/754</f>
        <v>-11.708222811671087</v>
      </c>
      <c r="S28" s="348">
        <f>'Appendix - World Energy 2004'!S64/754</f>
        <v>0</v>
      </c>
      <c r="T28" s="348">
        <f>'Appendix - World Energy 2004'!T64/754</f>
        <v>0</v>
      </c>
      <c r="U28" s="348">
        <f>'Appendix - World Energy 2004'!U64/754</f>
        <v>0</v>
      </c>
      <c r="V28" s="348">
        <f>'Appendix - World Energy 2004'!V64/754</f>
        <v>0</v>
      </c>
      <c r="W28" s="348">
        <f>'Appendix - World Energy 2004'!W64/754</f>
        <v>-0.2612732095490716</v>
      </c>
      <c r="X28" s="348">
        <f>'Appendix - World Energy 2004'!X64/754</f>
        <v>0</v>
      </c>
      <c r="Y28" s="348">
        <f>'Appendix - World Energy 2004'!Y64/754</f>
        <v>-142.64058355437666</v>
      </c>
    </row>
    <row r="29" spans="1:25" ht="16.5">
      <c r="A29" s="349" t="s">
        <v>412</v>
      </c>
      <c r="B29" s="348">
        <f>'Appendix - World Energy 2004'!B65/754</f>
        <v>0</v>
      </c>
      <c r="C29" s="348">
        <f>'Appendix - World Energy 2004'!C65/754</f>
        <v>0</v>
      </c>
      <c r="D29" s="348">
        <f>'Appendix - World Energy 2004'!D65/754</f>
        <v>-217.29310344827587</v>
      </c>
      <c r="E29" s="348">
        <f>'Appendix - World Energy 2004'!E65/754</f>
        <v>0</v>
      </c>
      <c r="F29" s="348">
        <f>'Appendix - World Energy 2004'!F65/754</f>
        <v>0</v>
      </c>
      <c r="G29" s="348">
        <f>'Appendix - World Energy 2004'!G65/754</f>
        <v>0</v>
      </c>
      <c r="H29" s="348">
        <f>'Appendix - World Energy 2004'!H65/754</f>
        <v>0</v>
      </c>
      <c r="I29" s="348">
        <f>'Appendix - World Energy 2004'!I65/754</f>
        <v>0</v>
      </c>
      <c r="J29" s="348">
        <f>'Appendix - World Energy 2004'!J65/754</f>
        <v>0</v>
      </c>
      <c r="K29" s="348">
        <f>'Appendix - World Energy 2004'!K65/754</f>
        <v>0</v>
      </c>
      <c r="L29" s="348">
        <f>'Appendix - World Energy 2004'!L65/754</f>
        <v>-217.29310344827587</v>
      </c>
      <c r="N29" s="349" t="s">
        <v>412</v>
      </c>
      <c r="O29" s="348">
        <f>'Appendix - World Energy 2004'!O65/754</f>
        <v>0</v>
      </c>
      <c r="P29" s="348">
        <f>'Appendix - World Energy 2004'!P65/754</f>
        <v>0</v>
      </c>
      <c r="Q29" s="348">
        <f>'Appendix - World Energy 2004'!Q65/754</f>
        <v>-2.7612732095490715</v>
      </c>
      <c r="R29" s="348">
        <f>'Appendix - World Energy 2004'!R65/754</f>
        <v>0</v>
      </c>
      <c r="S29" s="348">
        <f>'Appendix - World Energy 2004'!S65/754</f>
        <v>0</v>
      </c>
      <c r="T29" s="348">
        <f>'Appendix - World Energy 2004'!T65/754</f>
        <v>0</v>
      </c>
      <c r="U29" s="348">
        <f>'Appendix - World Energy 2004'!U65/754</f>
        <v>0</v>
      </c>
      <c r="V29" s="348">
        <f>'Appendix - World Energy 2004'!V65/754</f>
        <v>0</v>
      </c>
      <c r="W29" s="348">
        <f>'Appendix - World Energy 2004'!W65/754</f>
        <v>0</v>
      </c>
      <c r="X29" s="348">
        <f>'Appendix - World Energy 2004'!X65/754</f>
        <v>0</v>
      </c>
      <c r="Y29" s="348">
        <f>'Appendix - World Energy 2004'!Y65/754</f>
        <v>-2.7612732095490715</v>
      </c>
    </row>
    <row r="30" spans="1:25" ht="8.25">
      <c r="A30" s="349" t="s">
        <v>413</v>
      </c>
      <c r="B30" s="348">
        <f>'Appendix - World Energy 2004'!B66/754</f>
        <v>1.6445623342175066</v>
      </c>
      <c r="C30" s="348">
        <f>'Appendix - World Energy 2004'!C66/754</f>
        <v>-16.457559681697614</v>
      </c>
      <c r="D30" s="348">
        <f>'Appendix - World Energy 2004'!D66/754</f>
        <v>-3.4694960212201593</v>
      </c>
      <c r="E30" s="348">
        <f>'Appendix - World Energy 2004'!E66/754</f>
        <v>-12.16710875331565</v>
      </c>
      <c r="F30" s="348">
        <f>'Appendix - World Energy 2004'!F66/754</f>
        <v>0</v>
      </c>
      <c r="G30" s="348">
        <f>'Appendix - World Energy 2004'!G66/754</f>
        <v>0</v>
      </c>
      <c r="H30" s="348">
        <f>'Appendix - World Energy 2004'!H66/754</f>
        <v>0</v>
      </c>
      <c r="I30" s="348">
        <f>'Appendix - World Energy 2004'!I66/754</f>
        <v>0.26790450928381965</v>
      </c>
      <c r="J30" s="348">
        <f>'Appendix - World Energy 2004'!J66/754</f>
        <v>0</v>
      </c>
      <c r="K30" s="348">
        <f>'Appendix - World Energy 2004'!K66/754</f>
        <v>0</v>
      </c>
      <c r="L30" s="348">
        <f>'Appendix - World Energy 2004'!L66/754</f>
        <v>-30.180371352785144</v>
      </c>
      <c r="N30" s="349" t="s">
        <v>413</v>
      </c>
      <c r="O30" s="348">
        <f>'Appendix - World Energy 2004'!O66/754</f>
        <v>-0.01856763925729443</v>
      </c>
      <c r="P30" s="348">
        <f>'Appendix - World Energy 2004'!P66/754</f>
        <v>-0.1909814323607427</v>
      </c>
      <c r="Q30" s="348">
        <f>'Appendix - World Energy 2004'!Q66/754</f>
        <v>-0.5994694960212201</v>
      </c>
      <c r="R30" s="348">
        <f>'Appendix - World Energy 2004'!R66/754</f>
        <v>-0.6392572944297082</v>
      </c>
      <c r="S30" s="348">
        <f>'Appendix - World Energy 2004'!S66/754</f>
        <v>0</v>
      </c>
      <c r="T30" s="348">
        <f>'Appendix - World Energy 2004'!T66/754</f>
        <v>0</v>
      </c>
      <c r="U30" s="348">
        <f>'Appendix - World Energy 2004'!U66/754</f>
        <v>0</v>
      </c>
      <c r="V30" s="348">
        <f>'Appendix - World Energy 2004'!V66/754</f>
        <v>0</v>
      </c>
      <c r="W30" s="348">
        <f>'Appendix - World Energy 2004'!W66/754</f>
        <v>0</v>
      </c>
      <c r="X30" s="348">
        <f>'Appendix - World Energy 2004'!X66/754</f>
        <v>0</v>
      </c>
      <c r="Y30" s="348">
        <f>'Appendix - World Energy 2004'!Y66/754</f>
        <v>-1.4496021220159152</v>
      </c>
    </row>
    <row r="31" spans="1:25" ht="8.25">
      <c r="A31" s="345" t="s">
        <v>443</v>
      </c>
      <c r="B31" s="346">
        <f>'Appendix - World Energy 2004'!B67/754</f>
        <v>3681.3209549071616</v>
      </c>
      <c r="C31" s="346">
        <f>'Appendix - World Energy 2004'!C67/754</f>
        <v>5336.371352785146</v>
      </c>
      <c r="D31" s="346">
        <f>'Appendix - World Energy 2004'!D67/754</f>
        <v>-308.8129973474801</v>
      </c>
      <c r="E31" s="346">
        <f>'Appendix - World Energy 2004'!E67/754</f>
        <v>3059.6206896551726</v>
      </c>
      <c r="F31" s="346">
        <f>'Appendix - World Energy 2004'!F67/754</f>
        <v>947.0358090185676</v>
      </c>
      <c r="G31" s="346">
        <f>'Appendix - World Energy 2004'!G67/754</f>
        <v>320.2665782493369</v>
      </c>
      <c r="H31" s="346">
        <f>'Appendix - World Energy 2004'!H67/754</f>
        <v>75.89124668435014</v>
      </c>
      <c r="I31" s="346">
        <f>'Appendix - World Energy 2004'!I67/754</f>
        <v>1555.7254641909815</v>
      </c>
      <c r="J31" s="346">
        <f>'Appendix - World Energy 2004'!J67/754</f>
        <v>-0.5557029177718833</v>
      </c>
      <c r="K31" s="346">
        <f>'Appendix - World Energy 2004'!K67/754</f>
        <v>0.8262599469496021</v>
      </c>
      <c r="L31" s="346">
        <f>'Appendix - World Energy 2004'!L67/754</f>
        <v>14884.984084880636</v>
      </c>
      <c r="N31" s="345" t="s">
        <v>443</v>
      </c>
      <c r="O31" s="346">
        <f>'Appendix - World Energy 2004'!O67/754</f>
        <v>49.712201591511935</v>
      </c>
      <c r="P31" s="346">
        <f>'Appendix - World Energy 2004'!P67/754</f>
        <v>128.71087533156498</v>
      </c>
      <c r="Q31" s="346">
        <f>'Appendix - World Energy 2004'!Q67/754</f>
        <v>-17.751989389920425</v>
      </c>
      <c r="R31" s="346">
        <f>'Appendix - World Energy 2004'!R67/754</f>
        <v>115.86604774535809</v>
      </c>
      <c r="S31" s="346">
        <f>'Appendix - World Energy 2004'!S67/754</f>
        <v>27.649867374005304</v>
      </c>
      <c r="T31" s="346">
        <f>'Appendix - World Energy 2004'!T67/754</f>
        <v>0.5623342175066313</v>
      </c>
      <c r="U31" s="346">
        <f>'Appendix - World Energy 2004'!U67/754</f>
        <v>0.2546419098143236</v>
      </c>
      <c r="V31" s="346">
        <f>'Appendix - World Energy 2004'!V67/754</f>
        <v>4.072944297082228</v>
      </c>
      <c r="W31" s="346">
        <f>'Appendix - World Energy 2004'!W67/754</f>
        <v>0.8541114058355438</v>
      </c>
      <c r="X31" s="346">
        <f>'Appendix - World Energy 2004'!X67/754</f>
        <v>0</v>
      </c>
      <c r="Y31" s="346">
        <f>'Appendix - World Energy 2004'!Y67/754</f>
        <v>309.93236074270555</v>
      </c>
    </row>
    <row r="32" spans="1:25" ht="8.25">
      <c r="A32" s="349" t="s">
        <v>212</v>
      </c>
      <c r="B32" s="348">
        <f>'Appendix - World Energy 2004'!B68/754</f>
        <v>0</v>
      </c>
      <c r="C32" s="348">
        <f>'Appendix - World Energy 2004'!C68/754</f>
        <v>-171.83023872679044</v>
      </c>
      <c r="D32" s="348">
        <f>'Appendix - World Energy 2004'!D68/754</f>
        <v>190.22546419098143</v>
      </c>
      <c r="E32" s="348">
        <f>'Appendix - World Energy 2004'!E68/754</f>
        <v>0</v>
      </c>
      <c r="F32" s="348">
        <f>'Appendix - World Energy 2004'!F68/754</f>
        <v>0</v>
      </c>
      <c r="G32" s="348">
        <f>'Appendix - World Energy 2004'!G68/754</f>
        <v>0</v>
      </c>
      <c r="H32" s="348">
        <f>'Appendix - World Energy 2004'!H68/754</f>
        <v>0</v>
      </c>
      <c r="I32" s="348">
        <f>'Appendix - World Energy 2004'!I68/754</f>
        <v>0</v>
      </c>
      <c r="J32" s="348">
        <f>'Appendix - World Energy 2004'!J68/754</f>
        <v>0</v>
      </c>
      <c r="K32" s="348">
        <f>'Appendix - World Energy 2004'!K68/754</f>
        <v>0</v>
      </c>
      <c r="L32" s="348">
        <f>'Appendix - World Energy 2004'!L68/754</f>
        <v>18.393899204244033</v>
      </c>
      <c r="N32" s="349" t="s">
        <v>212</v>
      </c>
      <c r="O32" s="348">
        <f>'Appendix - World Energy 2004'!O68/754</f>
        <v>0</v>
      </c>
      <c r="P32" s="348">
        <f>'Appendix - World Energy 2004'!P68/754</f>
        <v>-5.241379310344827</v>
      </c>
      <c r="Q32" s="348">
        <f>'Appendix - World Energy 2004'!Q68/754</f>
        <v>5.23342175066313</v>
      </c>
      <c r="R32" s="348">
        <f>'Appendix - World Energy 2004'!R68/754</f>
        <v>0</v>
      </c>
      <c r="S32" s="348">
        <f>'Appendix - World Energy 2004'!S68/754</f>
        <v>0</v>
      </c>
      <c r="T32" s="348">
        <f>'Appendix - World Energy 2004'!T68/754</f>
        <v>0</v>
      </c>
      <c r="U32" s="348">
        <f>'Appendix - World Energy 2004'!U68/754</f>
        <v>0</v>
      </c>
      <c r="V32" s="348">
        <f>'Appendix - World Energy 2004'!V68/754</f>
        <v>0</v>
      </c>
      <c r="W32" s="348">
        <f>'Appendix - World Energy 2004'!W68/754</f>
        <v>0</v>
      </c>
      <c r="X32" s="348">
        <f>'Appendix - World Energy 2004'!X68/754</f>
        <v>0</v>
      </c>
      <c r="Y32" s="348">
        <f>'Appendix - World Energy 2004'!Y68/754</f>
        <v>-0.007957559681697613</v>
      </c>
    </row>
    <row r="33" spans="1:25" ht="16.5">
      <c r="A33" s="349" t="s">
        <v>414</v>
      </c>
      <c r="B33" s="348">
        <f>'Appendix - World Energy 2004'!B69/754</f>
        <v>23.981432360742705</v>
      </c>
      <c r="C33" s="348">
        <f>'Appendix - World Energy 2004'!C69/754</f>
        <v>-23.221485411140584</v>
      </c>
      <c r="D33" s="348">
        <f>'Appendix - World Energy 2004'!D69/754</f>
        <v>1.4084880636604775</v>
      </c>
      <c r="E33" s="348">
        <f>'Appendix - World Energy 2004'!E69/754</f>
        <v>9.980106100795757</v>
      </c>
      <c r="F33" s="348">
        <f>'Appendix - World Energy 2004'!F69/754</f>
        <v>0</v>
      </c>
      <c r="G33" s="348">
        <f>'Appendix - World Energy 2004'!G69/754</f>
        <v>0</v>
      </c>
      <c r="H33" s="348">
        <f>'Appendix - World Energy 2004'!H69/754</f>
        <v>0</v>
      </c>
      <c r="I33" s="348">
        <f>'Appendix - World Energy 2004'!I69/754</f>
        <v>-0.006631299734748011</v>
      </c>
      <c r="J33" s="348">
        <f>'Appendix - World Energy 2004'!J69/754</f>
        <v>-0.05570291777188329</v>
      </c>
      <c r="K33" s="348">
        <f>'Appendix - World Energy 2004'!K69/754</f>
        <v>0.3753315649867374</v>
      </c>
      <c r="L33" s="348">
        <f>'Appendix - World Energy 2004'!L69/754</f>
        <v>12.461538461538462</v>
      </c>
      <c r="N33" s="349" t="s">
        <v>414</v>
      </c>
      <c r="O33" s="348">
        <f>'Appendix - World Energy 2004'!O69/754</f>
        <v>-0.27984084880636606</v>
      </c>
      <c r="P33" s="348">
        <f>'Appendix - World Energy 2004'!P69/754</f>
        <v>0.10477453580901856</v>
      </c>
      <c r="Q33" s="348">
        <f>'Appendix - World Energy 2004'!Q69/754</f>
        <v>0.3037135278514589</v>
      </c>
      <c r="R33" s="348">
        <f>'Appendix - World Energy 2004'!R69/754</f>
        <v>-0.1843501326259947</v>
      </c>
      <c r="S33" s="348">
        <f>'Appendix - World Energy 2004'!S69/754</f>
        <v>0</v>
      </c>
      <c r="T33" s="348">
        <f>'Appendix - World Energy 2004'!T69/754</f>
        <v>0</v>
      </c>
      <c r="U33" s="348">
        <f>'Appendix - World Energy 2004'!U69/754</f>
        <v>0</v>
      </c>
      <c r="V33" s="348">
        <f>'Appendix - World Energy 2004'!V69/754</f>
        <v>0</v>
      </c>
      <c r="W33" s="348">
        <f>'Appendix - World Energy 2004'!W69/754</f>
        <v>-0.001326259946949602</v>
      </c>
      <c r="X33" s="348">
        <f>'Appendix - World Energy 2004'!X69/754</f>
        <v>0</v>
      </c>
      <c r="Y33" s="348">
        <f>'Appendix - World Energy 2004'!Y69/754</f>
        <v>-0.05702917771883289</v>
      </c>
    </row>
    <row r="34" spans="1:25" ht="8.25">
      <c r="A34" s="349" t="s">
        <v>415</v>
      </c>
      <c r="B34" s="348">
        <f>'Appendix - World Energy 2004'!B70/754</f>
        <v>-2157.368700265252</v>
      </c>
      <c r="C34" s="348">
        <f>'Appendix - World Energy 2004'!C70/754</f>
        <v>-26.79973474801061</v>
      </c>
      <c r="D34" s="348">
        <f>'Appendix - World Energy 2004'!D70/754</f>
        <v>-299.2347480106101</v>
      </c>
      <c r="E34" s="348">
        <f>'Appendix - World Energy 2004'!E70/754</f>
        <v>-650.6140583554377</v>
      </c>
      <c r="F34" s="348">
        <f>'Appendix - World Energy 2004'!F70/754</f>
        <v>-931.1206896551724</v>
      </c>
      <c r="G34" s="348">
        <f>'Appendix - World Energy 2004'!G70/754</f>
        <v>-320.2665782493369</v>
      </c>
      <c r="H34" s="348">
        <f>'Appendix - World Energy 2004'!H70/754</f>
        <v>-64.14721485411141</v>
      </c>
      <c r="I34" s="348">
        <f>'Appendix - World Energy 2004'!I70/754</f>
        <v>-46.55570291777188</v>
      </c>
      <c r="J34" s="348">
        <f>'Appendix - World Energy 2004'!J70/754</f>
        <v>1773.2679045092839</v>
      </c>
      <c r="K34" s="348">
        <f>'Appendix - World Energy 2004'!K70/754</f>
        <v>-0.2625994694960212</v>
      </c>
      <c r="L34" s="348">
        <f>'Appendix - World Energy 2004'!L70/754</f>
        <v>-2723.100795755968</v>
      </c>
      <c r="N34" s="349" t="s">
        <v>415</v>
      </c>
      <c r="O34" s="348">
        <f>'Appendix - World Energy 2004'!O70/754</f>
        <v>-40.53183023872679</v>
      </c>
      <c r="P34" s="348">
        <f>'Appendix - World Energy 2004'!P70/754</f>
        <v>0</v>
      </c>
      <c r="Q34" s="348">
        <f>'Appendix - World Energy 2004'!Q70/754</f>
        <v>-0.47480106100795755</v>
      </c>
      <c r="R34" s="348">
        <f>'Appendix - World Energy 2004'!R70/754</f>
        <v>-30.572944297082227</v>
      </c>
      <c r="S34" s="348">
        <f>'Appendix - World Energy 2004'!S70/754</f>
        <v>-27.649867374005304</v>
      </c>
      <c r="T34" s="348">
        <f>'Appendix - World Energy 2004'!T70/754</f>
        <v>-0.5623342175066313</v>
      </c>
      <c r="U34" s="348">
        <f>'Appendix - World Energy 2004'!U70/754</f>
        <v>-0.22148541114058357</v>
      </c>
      <c r="V34" s="348">
        <f>'Appendix - World Energy 2004'!V70/754</f>
        <v>-2.9310344827586206</v>
      </c>
      <c r="W34" s="348">
        <f>'Appendix - World Energy 2004'!W70/754</f>
        <v>41.70159151193634</v>
      </c>
      <c r="X34" s="348">
        <f>'Appendix - World Energy 2004'!X70/754</f>
        <v>0</v>
      </c>
      <c r="Y34" s="348">
        <f>'Appendix - World Energy 2004'!Y70/754</f>
        <v>-61.244031830238725</v>
      </c>
    </row>
    <row r="35" spans="1:25" ht="8.25">
      <c r="A35" s="349" t="s">
        <v>416</v>
      </c>
      <c r="B35" s="348">
        <f>'Appendix - World Energy 2004'!B71/754</f>
        <v>-234.28779840848807</v>
      </c>
      <c r="C35" s="348">
        <f>'Appendix - World Energy 2004'!C71/754</f>
        <v>-0.007957559681697613</v>
      </c>
      <c r="D35" s="348">
        <f>'Appendix - World Energy 2004'!D71/754</f>
        <v>-40.816976127320956</v>
      </c>
      <c r="E35" s="348">
        <f>'Appendix - World Energy 2004'!E71/754</f>
        <v>-386.87267904509287</v>
      </c>
      <c r="F35" s="348">
        <f>'Appendix - World Energy 2004'!F71/754</f>
        <v>-15.916445623342176</v>
      </c>
      <c r="G35" s="348">
        <f>'Appendix - World Energy 2004'!G71/754</f>
        <v>0</v>
      </c>
      <c r="H35" s="348">
        <f>'Appendix - World Energy 2004'!H71/754</f>
        <v>-1.16710875331565</v>
      </c>
      <c r="I35" s="348">
        <f>'Appendix - World Energy 2004'!I71/754</f>
        <v>-44.61405835543766</v>
      </c>
      <c r="J35" s="348">
        <f>'Appendix - World Energy 2004'!J71/754</f>
        <v>217.0291777188329</v>
      </c>
      <c r="K35" s="348">
        <f>'Appendix - World Energy 2004'!K71/754</f>
        <v>184.94297082228115</v>
      </c>
      <c r="L35" s="348">
        <f>'Appendix - World Energy 2004'!L71/754</f>
        <v>-321.709549071618</v>
      </c>
      <c r="N35" s="349" t="s">
        <v>416</v>
      </c>
      <c r="O35" s="348">
        <f>'Appendix - World Energy 2004'!O71/754</f>
        <v>-0.3302387267904509</v>
      </c>
      <c r="P35" s="348">
        <f>'Appendix - World Energy 2004'!P71/754</f>
        <v>0</v>
      </c>
      <c r="Q35" s="348">
        <f>'Appendix - World Energy 2004'!Q71/754</f>
        <v>-0.37002652519893897</v>
      </c>
      <c r="R35" s="348">
        <f>'Appendix - World Energy 2004'!R71/754</f>
        <v>-4.123342175066313</v>
      </c>
      <c r="S35" s="348">
        <f>'Appendix - World Energy 2004'!S71/754</f>
        <v>0</v>
      </c>
      <c r="T35" s="348">
        <f>'Appendix - World Energy 2004'!T71/754</f>
        <v>0</v>
      </c>
      <c r="U35" s="348">
        <f>'Appendix - World Energy 2004'!U71/754</f>
        <v>0</v>
      </c>
      <c r="V35" s="348">
        <f>'Appendix - World Energy 2004'!V71/754</f>
        <v>-0.1883289124668435</v>
      </c>
      <c r="W35" s="348">
        <f>'Appendix - World Energy 2004'!W71/754</f>
        <v>3.147214854111406</v>
      </c>
      <c r="X35" s="348">
        <f>'Appendix - World Energy 2004'!X71/754</f>
        <v>0</v>
      </c>
      <c r="Y35" s="348">
        <f>'Appendix - World Energy 2004'!Y71/754</f>
        <v>-1.8647214854111407</v>
      </c>
    </row>
    <row r="36" spans="1:25" ht="8.25">
      <c r="A36" s="349" t="s">
        <v>417</v>
      </c>
      <c r="B36" s="348">
        <f>'Appendix - World Energy 2004'!B72/754</f>
        <v>-114.04907161803713</v>
      </c>
      <c r="C36" s="348">
        <f>'Appendix - World Energy 2004'!C72/754</f>
        <v>-1.2108753315649867</v>
      </c>
      <c r="D36" s="348">
        <f>'Appendix - World Energy 2004'!D72/754</f>
        <v>-19.70159151193634</v>
      </c>
      <c r="E36" s="348">
        <f>'Appendix - World Energy 2004'!E72/754</f>
        <v>-126.01989389920425</v>
      </c>
      <c r="F36" s="348">
        <f>'Appendix - World Energy 2004'!F72/754</f>
        <v>0</v>
      </c>
      <c r="G36" s="348">
        <f>'Appendix - World Energy 2004'!G72/754</f>
        <v>0</v>
      </c>
      <c r="H36" s="348">
        <f>'Appendix - World Energy 2004'!H72/754</f>
        <v>-0.1246684350132626</v>
      </c>
      <c r="I36" s="348">
        <f>'Appendix - World Energy 2004'!I72/754</f>
        <v>-8.99867374005305</v>
      </c>
      <c r="J36" s="348">
        <f>'Appendix - World Energy 2004'!J72/754</f>
        <v>-0.4986737400530504</v>
      </c>
      <c r="K36" s="348">
        <f>'Appendix - World Energy 2004'!K72/754</f>
        <v>209.77984084880637</v>
      </c>
      <c r="L36" s="348">
        <f>'Appendix - World Energy 2004'!L72/754</f>
        <v>-60.823607427055705</v>
      </c>
      <c r="N36" s="349" t="s">
        <v>417</v>
      </c>
      <c r="O36" s="348">
        <f>'Appendix - World Energy 2004'!O72/754</f>
        <v>-0.5344827586206896</v>
      </c>
      <c r="P36" s="348">
        <f>'Appendix - World Energy 2004'!P72/754</f>
        <v>0</v>
      </c>
      <c r="Q36" s="348">
        <f>'Appendix - World Energy 2004'!Q72/754</f>
        <v>-0.10079575596816977</v>
      </c>
      <c r="R36" s="348">
        <f>'Appendix - World Energy 2004'!R72/754</f>
        <v>-3.2679045092838197</v>
      </c>
      <c r="S36" s="348">
        <f>'Appendix - World Energy 2004'!S72/754</f>
        <v>0</v>
      </c>
      <c r="T36" s="348">
        <f>'Appendix - World Energy 2004'!T72/754</f>
        <v>0</v>
      </c>
      <c r="U36" s="348">
        <f>'Appendix - World Energy 2004'!U72/754</f>
        <v>0</v>
      </c>
      <c r="V36" s="348">
        <f>'Appendix - World Energy 2004'!V72/754</f>
        <v>0</v>
      </c>
      <c r="W36" s="348">
        <f>'Appendix - World Energy 2004'!W72/754</f>
        <v>0</v>
      </c>
      <c r="X36" s="348">
        <f>'Appendix - World Energy 2004'!X72/754</f>
        <v>2.9217506631299734</v>
      </c>
      <c r="Y36" s="348">
        <f>'Appendix - World Energy 2004'!Y72/754</f>
        <v>-0.9814323607427056</v>
      </c>
    </row>
    <row r="37" spans="1:25" ht="8.25">
      <c r="A37" s="349" t="s">
        <v>418</v>
      </c>
      <c r="B37" s="348">
        <f>'Appendix - World Energy 2004'!B73/754</f>
        <v>-17.49867374005305</v>
      </c>
      <c r="C37" s="348">
        <f>'Appendix - World Energy 2004'!C73/754</f>
        <v>0</v>
      </c>
      <c r="D37" s="348">
        <f>'Appendix - World Energy 2004'!D73/754</f>
        <v>-4.687002652519894</v>
      </c>
      <c r="E37" s="348">
        <f>'Appendix - World Energy 2004'!E73/754</f>
        <v>13.310344827586206</v>
      </c>
      <c r="F37" s="348">
        <f>'Appendix - World Energy 2004'!F73/754</f>
        <v>0</v>
      </c>
      <c r="G37" s="348">
        <f>'Appendix - World Energy 2004'!G73/754</f>
        <v>0</v>
      </c>
      <c r="H37" s="348">
        <f>'Appendix - World Energy 2004'!H73/754</f>
        <v>0</v>
      </c>
      <c r="I37" s="348">
        <f>'Appendix - World Energy 2004'!I73/754</f>
        <v>0</v>
      </c>
      <c r="J37" s="348">
        <f>'Appendix - World Energy 2004'!J73/754</f>
        <v>0</v>
      </c>
      <c r="K37" s="348">
        <f>'Appendix - World Energy 2004'!K73/754</f>
        <v>0</v>
      </c>
      <c r="L37" s="348">
        <f>'Appendix - World Energy 2004'!L73/754</f>
        <v>-8.875331564986737</v>
      </c>
      <c r="N37" s="349" t="s">
        <v>418</v>
      </c>
      <c r="O37" s="348">
        <f>'Appendix - World Energy 2004'!O73/754</f>
        <v>0</v>
      </c>
      <c r="P37" s="348">
        <f>'Appendix - World Energy 2004'!P73/754</f>
        <v>0</v>
      </c>
      <c r="Q37" s="348">
        <f>'Appendix - World Energy 2004'!Q73/754</f>
        <v>0</v>
      </c>
      <c r="R37" s="348">
        <f>'Appendix - World Energy 2004'!R73/754</f>
        <v>0</v>
      </c>
      <c r="S37" s="348">
        <f>'Appendix - World Energy 2004'!S73/754</f>
        <v>0</v>
      </c>
      <c r="T37" s="348">
        <f>'Appendix - World Energy 2004'!T73/754</f>
        <v>0</v>
      </c>
      <c r="U37" s="348">
        <f>'Appendix - World Energy 2004'!U73/754</f>
        <v>0</v>
      </c>
      <c r="V37" s="348">
        <f>'Appendix - World Energy 2004'!V73/754</f>
        <v>0</v>
      </c>
      <c r="W37" s="348">
        <f>'Appendix - World Energy 2004'!W73/754</f>
        <v>0</v>
      </c>
      <c r="X37" s="348">
        <f>'Appendix - World Energy 2004'!X73/754</f>
        <v>0</v>
      </c>
      <c r="Y37" s="348">
        <f>'Appendix - World Energy 2004'!Y73/754</f>
        <v>0</v>
      </c>
    </row>
    <row r="38" spans="1:25" ht="16.5">
      <c r="A38" s="349" t="s">
        <v>419</v>
      </c>
      <c r="B38" s="348">
        <f>'Appendix - World Energy 2004'!B74/754</f>
        <v>0</v>
      </c>
      <c r="C38" s="348">
        <f>'Appendix - World Energy 2004'!C74/754</f>
        <v>-5125.327586206897</v>
      </c>
      <c r="D38" s="348">
        <f>'Appendix - World Energy 2004'!D74/754</f>
        <v>5072.183023872679</v>
      </c>
      <c r="E38" s="348">
        <f>'Appendix - World Energy 2004'!E74/754</f>
        <v>-0.9071618037135278</v>
      </c>
      <c r="F38" s="348">
        <f>'Appendix - World Energy 2004'!F74/754</f>
        <v>0</v>
      </c>
      <c r="G38" s="348">
        <f>'Appendix - World Energy 2004'!G74/754</f>
        <v>0</v>
      </c>
      <c r="H38" s="348">
        <f>'Appendix - World Energy 2004'!H74/754</f>
        <v>0</v>
      </c>
      <c r="I38" s="348">
        <f>'Appendix - World Energy 2004'!I74/754</f>
        <v>0</v>
      </c>
      <c r="J38" s="348">
        <f>'Appendix - World Energy 2004'!J74/754</f>
        <v>0</v>
      </c>
      <c r="K38" s="348">
        <f>'Appendix - World Energy 2004'!K74/754</f>
        <v>0</v>
      </c>
      <c r="L38" s="348">
        <f>'Appendix - World Energy 2004'!L74/754</f>
        <v>-54.05172413793103</v>
      </c>
      <c r="N38" s="349" t="s">
        <v>419</v>
      </c>
      <c r="O38" s="348">
        <f>'Appendix - World Energy 2004'!O74/754</f>
        <v>0</v>
      </c>
      <c r="P38" s="348">
        <f>'Appendix - World Energy 2004'!P74/754</f>
        <v>-123.57559681697613</v>
      </c>
      <c r="Q38" s="348">
        <f>'Appendix - World Energy 2004'!Q74/754</f>
        <v>123.27320954907162</v>
      </c>
      <c r="R38" s="348">
        <f>'Appendix - World Energy 2004'!R74/754</f>
        <v>0</v>
      </c>
      <c r="S38" s="348">
        <f>'Appendix - World Energy 2004'!S74/754</f>
        <v>0</v>
      </c>
      <c r="T38" s="348">
        <f>'Appendix - World Energy 2004'!T74/754</f>
        <v>0</v>
      </c>
      <c r="U38" s="348">
        <f>'Appendix - World Energy 2004'!U74/754</f>
        <v>0</v>
      </c>
      <c r="V38" s="348">
        <f>'Appendix - World Energy 2004'!V74/754</f>
        <v>0</v>
      </c>
      <c r="W38" s="348">
        <f>'Appendix - World Energy 2004'!W74/754</f>
        <v>0</v>
      </c>
      <c r="X38" s="348">
        <f>'Appendix - World Energy 2004'!X74/754</f>
        <v>0</v>
      </c>
      <c r="Y38" s="348">
        <f>'Appendix - World Energy 2004'!Y74/754</f>
        <v>-0.30238726790450926</v>
      </c>
    </row>
    <row r="39" spans="1:25" ht="16.5">
      <c r="A39" s="349" t="s">
        <v>420</v>
      </c>
      <c r="B39" s="348">
        <f>'Appendix - World Energy 2004'!B75/754</f>
        <v>-224.5106100795756</v>
      </c>
      <c r="C39" s="348">
        <f>'Appendix - World Energy 2004'!C75/754</f>
        <v>0.05172413793103448</v>
      </c>
      <c r="D39" s="348">
        <f>'Appendix - World Energy 2004'!D75/754</f>
        <v>-4.163129973474801</v>
      </c>
      <c r="E39" s="348">
        <f>'Appendix - World Energy 2004'!E75/754</f>
        <v>-0.34748010610079577</v>
      </c>
      <c r="F39" s="348">
        <f>'Appendix - World Energy 2004'!F75/754</f>
        <v>0</v>
      </c>
      <c r="G39" s="348">
        <f>'Appendix - World Energy 2004'!G75/754</f>
        <v>0</v>
      </c>
      <c r="H39" s="348">
        <f>'Appendix - World Energy 2004'!H75/754</f>
        <v>0</v>
      </c>
      <c r="I39" s="348">
        <f>'Appendix - World Energy 2004'!I75/754</f>
        <v>0</v>
      </c>
      <c r="J39" s="348">
        <f>'Appendix - World Energy 2004'!J75/754</f>
        <v>0</v>
      </c>
      <c r="K39" s="348">
        <f>'Appendix - World Energy 2004'!K75/754</f>
        <v>0</v>
      </c>
      <c r="L39" s="348">
        <f>'Appendix - World Energy 2004'!L75/754</f>
        <v>-228.96949602122015</v>
      </c>
      <c r="N39" s="349" t="s">
        <v>420</v>
      </c>
      <c r="O39" s="348">
        <f>'Appendix - World Energy 2004'!O75/754</f>
        <v>-2.693633952254642</v>
      </c>
      <c r="P39" s="348">
        <f>'Appendix - World Energy 2004'!P75/754</f>
        <v>0</v>
      </c>
      <c r="Q39" s="348">
        <f>'Appendix - World Energy 2004'!Q75/754</f>
        <v>-0.34350132625994695</v>
      </c>
      <c r="R39" s="348">
        <f>'Appendix - World Energy 2004'!R75/754</f>
        <v>0</v>
      </c>
      <c r="S39" s="348">
        <f>'Appendix - World Energy 2004'!S75/754</f>
        <v>0</v>
      </c>
      <c r="T39" s="348">
        <f>'Appendix - World Energy 2004'!T75/754</f>
        <v>0</v>
      </c>
      <c r="U39" s="348">
        <f>'Appendix - World Energy 2004'!U75/754</f>
        <v>0</v>
      </c>
      <c r="V39" s="348">
        <f>'Appendix - World Energy 2004'!V75/754</f>
        <v>0</v>
      </c>
      <c r="W39" s="348">
        <f>'Appendix - World Energy 2004'!W75/754</f>
        <v>0</v>
      </c>
      <c r="X39" s="348">
        <f>'Appendix - World Energy 2004'!X75/754</f>
        <v>0</v>
      </c>
      <c r="Y39" s="348">
        <f>'Appendix - World Energy 2004'!Y75/754</f>
        <v>-3.037135278514589</v>
      </c>
    </row>
    <row r="40" spans="1:25" ht="8.25">
      <c r="A40" s="349" t="s">
        <v>421</v>
      </c>
      <c r="B40" s="348">
        <f>'Appendix - World Energy 2004'!B76/754</f>
        <v>-23.416445623342174</v>
      </c>
      <c r="C40" s="348">
        <f>'Appendix - World Energy 2004'!C76/754</f>
        <v>7.098143236074271</v>
      </c>
      <c r="D40" s="348">
        <f>'Appendix - World Energy 2004'!D76/754</f>
        <v>0</v>
      </c>
      <c r="E40" s="348">
        <f>'Appendix - World Energy 2004'!E76/754</f>
        <v>-4.007957559681698</v>
      </c>
      <c r="F40" s="348">
        <f>'Appendix - World Energy 2004'!F76/754</f>
        <v>0</v>
      </c>
      <c r="G40" s="348">
        <f>'Appendix - World Energy 2004'!G76/754</f>
        <v>0</v>
      </c>
      <c r="H40" s="348">
        <f>'Appendix - World Energy 2004'!H76/754</f>
        <v>0</v>
      </c>
      <c r="I40" s="348">
        <f>'Appendix - World Energy 2004'!I76/754</f>
        <v>0</v>
      </c>
      <c r="J40" s="348">
        <f>'Appendix - World Energy 2004'!J76/754</f>
        <v>0</v>
      </c>
      <c r="K40" s="348">
        <f>'Appendix - World Energy 2004'!K76/754</f>
        <v>0</v>
      </c>
      <c r="L40" s="348">
        <f>'Appendix - World Energy 2004'!L76/754</f>
        <v>-20.3262599469496</v>
      </c>
      <c r="N40" s="349" t="s">
        <v>421</v>
      </c>
      <c r="O40" s="348">
        <f>'Appendix - World Energy 2004'!O76/754</f>
        <v>0</v>
      </c>
      <c r="P40" s="348">
        <f>'Appendix - World Energy 2004'!P76/754</f>
        <v>0</v>
      </c>
      <c r="Q40" s="348">
        <f>'Appendix - World Energy 2004'!Q76/754</f>
        <v>0</v>
      </c>
      <c r="R40" s="348">
        <f>'Appendix - World Energy 2004'!R76/754</f>
        <v>0</v>
      </c>
      <c r="S40" s="348">
        <f>'Appendix - World Energy 2004'!S76/754</f>
        <v>0</v>
      </c>
      <c r="T40" s="348">
        <f>'Appendix - World Energy 2004'!T76/754</f>
        <v>0</v>
      </c>
      <c r="U40" s="348">
        <f>'Appendix - World Energy 2004'!U76/754</f>
        <v>0</v>
      </c>
      <c r="V40" s="348">
        <f>'Appendix - World Energy 2004'!V76/754</f>
        <v>0</v>
      </c>
      <c r="W40" s="348">
        <f>'Appendix - World Energy 2004'!W76/754</f>
        <v>0</v>
      </c>
      <c r="X40" s="348">
        <f>'Appendix - World Energy 2004'!X76/754</f>
        <v>0</v>
      </c>
      <c r="Y40" s="348">
        <f>'Appendix - World Energy 2004'!Y76/754</f>
        <v>0</v>
      </c>
    </row>
    <row r="41" spans="1:25" ht="16.5">
      <c r="A41" s="349" t="s">
        <v>422</v>
      </c>
      <c r="B41" s="348">
        <f>'Appendix - World Energy 2004'!B77/754</f>
        <v>0.003978779840848806</v>
      </c>
      <c r="C41" s="348">
        <f>'Appendix - World Energy 2004'!C77/754</f>
        <v>36.684350132625994</v>
      </c>
      <c r="D41" s="348">
        <f>'Appendix - World Energy 2004'!D77/754</f>
        <v>-37.55172413793103</v>
      </c>
      <c r="E41" s="348">
        <f>'Appendix - World Energy 2004'!E77/754</f>
        <v>-7.729442970822281</v>
      </c>
      <c r="F41" s="348">
        <f>'Appendix - World Energy 2004'!F77/754</f>
        <v>0</v>
      </c>
      <c r="G41" s="348">
        <f>'Appendix - World Energy 2004'!G77/754</f>
        <v>0</v>
      </c>
      <c r="H41" s="348">
        <f>'Appendix - World Energy 2004'!H77/754</f>
        <v>0</v>
      </c>
      <c r="I41" s="348">
        <f>'Appendix - World Energy 2004'!I77/754</f>
        <v>-66.02785145888595</v>
      </c>
      <c r="J41" s="348">
        <f>'Appendix - World Energy 2004'!J77/754</f>
        <v>0</v>
      </c>
      <c r="K41" s="348">
        <f>'Appendix - World Energy 2004'!K77/754</f>
        <v>0</v>
      </c>
      <c r="L41" s="348">
        <f>'Appendix - World Energy 2004'!L77/754</f>
        <v>-74.61936339522546</v>
      </c>
      <c r="N41" s="349" t="s">
        <v>422</v>
      </c>
      <c r="O41" s="348">
        <f>'Appendix - World Energy 2004'!O77/754</f>
        <v>0.003978779840848806</v>
      </c>
      <c r="P41" s="348">
        <f>'Appendix - World Energy 2004'!P77/754</f>
        <v>0</v>
      </c>
      <c r="Q41" s="348">
        <f>'Appendix - World Energy 2004'!Q77/754</f>
        <v>0</v>
      </c>
      <c r="R41" s="348">
        <f>'Appendix - World Energy 2004'!R77/754</f>
        <v>-0.003978779840848806</v>
      </c>
      <c r="S41" s="348">
        <f>'Appendix - World Energy 2004'!S77/754</f>
        <v>0</v>
      </c>
      <c r="T41" s="348">
        <f>'Appendix - World Energy 2004'!T77/754</f>
        <v>0</v>
      </c>
      <c r="U41" s="348">
        <f>'Appendix - World Energy 2004'!U77/754</f>
        <v>0</v>
      </c>
      <c r="V41" s="348">
        <f>'Appendix - World Energy 2004'!V77/754</f>
        <v>0</v>
      </c>
      <c r="W41" s="348">
        <f>'Appendix - World Energy 2004'!W77/754</f>
        <v>0</v>
      </c>
      <c r="X41" s="348">
        <f>'Appendix - World Energy 2004'!X77/754</f>
        <v>0</v>
      </c>
      <c r="Y41" s="348">
        <f>'Appendix - World Energy 2004'!Y77/754</f>
        <v>0</v>
      </c>
    </row>
    <row r="42" spans="1:25" ht="8.25">
      <c r="A42" s="349" t="s">
        <v>423</v>
      </c>
      <c r="B42" s="348">
        <f>'Appendix - World Energy 2004'!B78/754</f>
        <v>-79.85411140583554</v>
      </c>
      <c r="C42" s="348">
        <f>'Appendix - World Energy 2004'!C78/754</f>
        <v>-12.082228116710874</v>
      </c>
      <c r="D42" s="348">
        <f>'Appendix - World Energy 2004'!D78/754</f>
        <v>-277.2559681697613</v>
      </c>
      <c r="E42" s="348">
        <f>'Appendix - World Energy 2004'!E78/754</f>
        <v>-252.72546419098143</v>
      </c>
      <c r="F42" s="348">
        <f>'Appendix - World Energy 2004'!F78/754</f>
        <v>0</v>
      </c>
      <c r="G42" s="348">
        <f>'Appendix - World Energy 2004'!G78/754</f>
        <v>0</v>
      </c>
      <c r="H42" s="348">
        <f>'Appendix - World Energy 2004'!H78/754</f>
        <v>0</v>
      </c>
      <c r="I42" s="348">
        <f>'Appendix - World Energy 2004'!I78/754</f>
        <v>-0.4124668435013263</v>
      </c>
      <c r="J42" s="348">
        <f>'Appendix - World Energy 2004'!J78/754</f>
        <v>-170.83023872679044</v>
      </c>
      <c r="K42" s="348">
        <f>'Appendix - World Energy 2004'!K78/754</f>
        <v>-35.350132625994696</v>
      </c>
      <c r="L42" s="348">
        <f>'Appendix - World Energy 2004'!L78/754</f>
        <v>-828.5132625994695</v>
      </c>
      <c r="N42" s="349" t="s">
        <v>423</v>
      </c>
      <c r="O42" s="348">
        <f>'Appendix - World Energy 2004'!O78/754</f>
        <v>-1.0716180371352786</v>
      </c>
      <c r="P42" s="348">
        <f>'Appendix - World Energy 2004'!P78/754</f>
        <v>0</v>
      </c>
      <c r="Q42" s="348">
        <f>'Appendix - World Energy 2004'!Q78/754</f>
        <v>-7.312997347480106</v>
      </c>
      <c r="R42" s="348">
        <f>'Appendix - World Energy 2004'!R78/754</f>
        <v>-8.974801061007957</v>
      </c>
      <c r="S42" s="348">
        <f>'Appendix - World Energy 2004'!S78/754</f>
        <v>0</v>
      </c>
      <c r="T42" s="348">
        <f>'Appendix - World Energy 2004'!T78/754</f>
        <v>0</v>
      </c>
      <c r="U42" s="348">
        <f>'Appendix - World Energy 2004'!U78/754</f>
        <v>0</v>
      </c>
      <c r="V42" s="348">
        <f>'Appendix - World Energy 2004'!V78/754</f>
        <v>0</v>
      </c>
      <c r="W42" s="348">
        <f>'Appendix - World Energy 2004'!W78/754</f>
        <v>-3.2625994694960214</v>
      </c>
      <c r="X42" s="348">
        <f>'Appendix - World Energy 2004'!X78/754</f>
        <v>-0.01856763925729443</v>
      </c>
      <c r="Y42" s="348">
        <f>'Appendix - World Energy 2004'!Y78/754</f>
        <v>-20.640583554376658</v>
      </c>
    </row>
    <row r="43" spans="1:25" ht="8.25">
      <c r="A43" s="349" t="s">
        <v>424</v>
      </c>
      <c r="B43" s="348">
        <f>'Appendix - World Energy 2004'!B79/754</f>
        <v>-2.086206896551724</v>
      </c>
      <c r="C43" s="348">
        <f>'Appendix - World Energy 2004'!C79/754</f>
        <v>-5.452254641909814</v>
      </c>
      <c r="D43" s="348">
        <f>'Appendix - World Energy 2004'!D79/754</f>
        <v>-0.1856763925729443</v>
      </c>
      <c r="E43" s="348">
        <f>'Appendix - World Energy 2004'!E79/754</f>
        <v>-32.90053050397878</v>
      </c>
      <c r="F43" s="348">
        <f>'Appendix - World Energy 2004'!F79/754</f>
        <v>0</v>
      </c>
      <c r="G43" s="348">
        <f>'Appendix - World Energy 2004'!G79/754</f>
        <v>0</v>
      </c>
      <c r="H43" s="348">
        <f>'Appendix - World Energy 2004'!H79/754</f>
        <v>-0.33687002652519893</v>
      </c>
      <c r="I43" s="348">
        <f>'Appendix - World Energy 2004'!I79/754</f>
        <v>-0.01989389920424403</v>
      </c>
      <c r="J43" s="348">
        <f>'Appendix - World Energy 2004'!J79/754</f>
        <v>-175.73342175066313</v>
      </c>
      <c r="K43" s="348">
        <f>'Appendix - World Energy 2004'!K79/754</f>
        <v>-22.391246684350133</v>
      </c>
      <c r="L43" s="348">
        <f>'Appendix - World Energy 2004'!L79/754</f>
        <v>-239.10344827586206</v>
      </c>
      <c r="N43" s="349" t="s">
        <v>424</v>
      </c>
      <c r="O43" s="348">
        <f>'Appendix - World Energy 2004'!O79/754</f>
        <v>-0.2572944297082228</v>
      </c>
      <c r="P43" s="348">
        <f>'Appendix - World Energy 2004'!P79/754</f>
        <v>0</v>
      </c>
      <c r="Q43" s="348">
        <f>'Appendix - World Energy 2004'!Q79/754</f>
        <v>0</v>
      </c>
      <c r="R43" s="348">
        <f>'Appendix - World Energy 2004'!R79/754</f>
        <v>-0.8381962864721485</v>
      </c>
      <c r="S43" s="348">
        <f>'Appendix - World Energy 2004'!S79/754</f>
        <v>0</v>
      </c>
      <c r="T43" s="348">
        <f>'Appendix - World Energy 2004'!T79/754</f>
        <v>0</v>
      </c>
      <c r="U43" s="348">
        <f>'Appendix - World Energy 2004'!U79/754</f>
        <v>0</v>
      </c>
      <c r="V43" s="348">
        <f>'Appendix - World Energy 2004'!V79/754</f>
        <v>0</v>
      </c>
      <c r="W43" s="348">
        <f>'Appendix - World Energy 2004'!W79/754</f>
        <v>-3.6538461538461537</v>
      </c>
      <c r="X43" s="348">
        <f>'Appendix - World Energy 2004'!X79/754</f>
        <v>0</v>
      </c>
      <c r="Y43" s="348">
        <f>'Appendix - World Energy 2004'!Y79/754</f>
        <v>-4.750663129973475</v>
      </c>
    </row>
    <row r="44" spans="1:25" ht="8.25">
      <c r="A44" s="345" t="s">
        <v>447</v>
      </c>
      <c r="B44" s="346">
        <f>'Appendix - World Energy 2004'!B80/754</f>
        <v>852.2347480106101</v>
      </c>
      <c r="C44" s="346">
        <f>'Appendix - World Energy 2004'!C80/754</f>
        <v>14.274535809018568</v>
      </c>
      <c r="D44" s="346">
        <f>'Appendix - World Energy 2004'!D80/754</f>
        <v>4271.403183023873</v>
      </c>
      <c r="E44" s="346">
        <f>'Appendix - World Energy 2004'!E80/754</f>
        <v>1620.787798408488</v>
      </c>
      <c r="F44" s="346">
        <f>'Appendix - World Energy 2004'!F80/754</f>
        <v>0</v>
      </c>
      <c r="G44" s="346">
        <f>'Appendix - World Energy 2004'!G80/754</f>
        <v>0</v>
      </c>
      <c r="H44" s="346">
        <f>'Appendix - World Energy 2004'!H80/754</f>
        <v>10.115384615384615</v>
      </c>
      <c r="I44" s="346">
        <f>'Appendix - World Energy 2004'!I80/754</f>
        <v>1389.0915119363394</v>
      </c>
      <c r="J44" s="346">
        <f>'Appendix - World Energy 2004'!J80/754</f>
        <v>1642.6246684350133</v>
      </c>
      <c r="K44" s="346">
        <f>'Appendix - World Energy 2004'!K80/754</f>
        <v>337.91909814323606</v>
      </c>
      <c r="L44" s="346">
        <f>'Appendix - World Energy 2004'!L80/754</f>
        <v>10138.449602122017</v>
      </c>
      <c r="N44" s="345" t="s">
        <v>447</v>
      </c>
      <c r="O44" s="346">
        <f>'Appendix - World Energy 2004'!O80/754</f>
        <v>4.017241379310345</v>
      </c>
      <c r="P44" s="346">
        <f>'Appendix - World Energy 2004'!P80/754</f>
        <v>0</v>
      </c>
      <c r="Q44" s="346">
        <f>'Appendix - World Energy 2004'!Q80/754</f>
        <v>102.45490716180372</v>
      </c>
      <c r="R44" s="346">
        <f>'Appendix - World Energy 2004'!R80/754</f>
        <v>67.90053050397879</v>
      </c>
      <c r="S44" s="346">
        <f>'Appendix - World Energy 2004'!S80/754</f>
        <v>0</v>
      </c>
      <c r="T44" s="346">
        <f>'Appendix - World Energy 2004'!T80/754</f>
        <v>0</v>
      </c>
      <c r="U44" s="346">
        <f>'Appendix - World Energy 2004'!U80/754</f>
        <v>0.033156498673740056</v>
      </c>
      <c r="V44" s="346">
        <f>'Appendix - World Energy 2004'!V80/754</f>
        <v>0.9535809018567639</v>
      </c>
      <c r="W44" s="346">
        <f>'Appendix - World Energy 2004'!W80/754</f>
        <v>38.785145888594165</v>
      </c>
      <c r="X44" s="346">
        <f>'Appendix - World Energy 2004'!X80/754</f>
        <v>2.9031830238726792</v>
      </c>
      <c r="Y44" s="346">
        <f>'Appendix - World Energy 2004'!Y80/754</f>
        <v>217.04641909814325</v>
      </c>
    </row>
    <row r="45" spans="1:25" ht="8.25">
      <c r="A45" s="345" t="s">
        <v>448</v>
      </c>
      <c r="B45" s="346">
        <f>'Appendix - World Energy 2004'!B81/754</f>
        <v>658.2811671087533</v>
      </c>
      <c r="C45" s="346">
        <f>'Appendix - World Energy 2004'!C81/754</f>
        <v>4.941644562334218</v>
      </c>
      <c r="D45" s="346">
        <f>'Appendix - World Energy 2004'!D81/754</f>
        <v>423.2745358090186</v>
      </c>
      <c r="E45" s="346">
        <f>'Appendix - World Energy 2004'!E81/754</f>
        <v>607.1153846153846</v>
      </c>
      <c r="F45" s="346">
        <f>'Appendix - World Energy 2004'!F81/754</f>
        <v>0</v>
      </c>
      <c r="G45" s="346">
        <f>'Appendix - World Energy 2004'!G81/754</f>
        <v>0</v>
      </c>
      <c r="H45" s="346">
        <f>'Appendix - World Energy 2004'!H81/754</f>
        <v>0</v>
      </c>
      <c r="I45" s="346">
        <f>'Appendix - World Energy 2004'!I81/754</f>
        <v>222.14058355437666</v>
      </c>
      <c r="J45" s="346">
        <f>'Appendix - World Energy 2004'!J81/754</f>
        <v>680.5358090185676</v>
      </c>
      <c r="K45" s="346">
        <f>'Appendix - World Energy 2004'!K81/754</f>
        <v>132.81034482758622</v>
      </c>
      <c r="L45" s="346">
        <f>'Appendix - World Energy 2004'!L81/754</f>
        <v>2729.899204244032</v>
      </c>
      <c r="N45" s="345" t="s">
        <v>448</v>
      </c>
      <c r="O45" s="346">
        <f>'Appendix - World Energy 2004'!O81/754</f>
        <v>2.5915119363395225</v>
      </c>
      <c r="P45" s="346">
        <f>'Appendix - World Energy 2004'!P81/754</f>
        <v>0</v>
      </c>
      <c r="Q45" s="346">
        <f>'Appendix - World Energy 2004'!Q81/754</f>
        <v>10.49867374005305</v>
      </c>
      <c r="R45" s="346">
        <f>'Appendix - World Energy 2004'!R81/754</f>
        <v>14.90185676392573</v>
      </c>
      <c r="S45" s="346">
        <f>'Appendix - World Energy 2004'!S81/754</f>
        <v>0</v>
      </c>
      <c r="T45" s="346">
        <f>'Appendix - World Energy 2004'!T81/754</f>
        <v>0</v>
      </c>
      <c r="U45" s="346">
        <f>'Appendix - World Energy 2004'!U81/754</f>
        <v>0</v>
      </c>
      <c r="V45" s="346">
        <f>'Appendix - World Energy 2004'!V81/754</f>
        <v>0.3779840848806366</v>
      </c>
      <c r="W45" s="346">
        <f>'Appendix - World Energy 2004'!W81/754</f>
        <v>13.362068965517242</v>
      </c>
      <c r="X45" s="346">
        <f>'Appendix - World Energy 2004'!X81/754</f>
        <v>1.6405835543766578</v>
      </c>
      <c r="Y45" s="346">
        <f>'Appendix - World Energy 2004'!Y81/754</f>
        <v>43.37135278514589</v>
      </c>
    </row>
    <row r="46" spans="1:25" ht="16.5">
      <c r="A46" s="345" t="s">
        <v>449</v>
      </c>
      <c r="B46" s="346">
        <f>'Appendix - World Energy 2004'!B82/754</f>
        <v>6.071618037135279</v>
      </c>
      <c r="C46" s="346">
        <f>'Appendix - World Energy 2004'!C82/754</f>
        <v>0.04907161803713528</v>
      </c>
      <c r="D46" s="346">
        <f>'Appendix - World Energy 2004'!D82/754</f>
        <v>2472.600795755968</v>
      </c>
      <c r="E46" s="346">
        <f>'Appendix - World Energy 2004'!E82/754</f>
        <v>90.33023872679045</v>
      </c>
      <c r="F46" s="346">
        <f>'Appendix - World Energy 2004'!F82/754</f>
        <v>0</v>
      </c>
      <c r="G46" s="346">
        <f>'Appendix - World Energy 2004'!G82/754</f>
        <v>0</v>
      </c>
      <c r="H46" s="346">
        <f>'Appendix - World Energy 2004'!H82/754</f>
        <v>0</v>
      </c>
      <c r="I46" s="346">
        <f>'Appendix - World Energy 2004'!I82/754</f>
        <v>20.478779840848805</v>
      </c>
      <c r="J46" s="346">
        <f>'Appendix - World Energy 2004'!J82/754</f>
        <v>29.110079575596817</v>
      </c>
      <c r="K46" s="346">
        <f>'Appendix - World Energy 2004'!K82/754</f>
        <v>0.11936339522546419</v>
      </c>
      <c r="L46" s="346">
        <f>'Appendix - World Energy 2004'!L82/754</f>
        <v>2618.7586206896553</v>
      </c>
      <c r="N46" s="345" t="s">
        <v>449</v>
      </c>
      <c r="O46" s="346">
        <f>'Appendix - World Energy 2004'!O82/754</f>
        <v>0</v>
      </c>
      <c r="P46" s="346">
        <f>'Appendix - World Energy 2004'!P82/754</f>
        <v>0</v>
      </c>
      <c r="Q46" s="346">
        <f>'Appendix - World Energy 2004'!Q82/754</f>
        <v>71.78381962864721</v>
      </c>
      <c r="R46" s="346">
        <f>'Appendix - World Energy 2004'!R82/754</f>
        <v>0</v>
      </c>
      <c r="S46" s="346">
        <f>'Appendix - World Energy 2004'!S82/754</f>
        <v>0</v>
      </c>
      <c r="T46" s="346">
        <f>'Appendix - World Energy 2004'!T82/754</f>
        <v>0</v>
      </c>
      <c r="U46" s="346">
        <f>'Appendix - World Energy 2004'!U82/754</f>
        <v>0</v>
      </c>
      <c r="V46" s="346">
        <f>'Appendix - World Energy 2004'!V82/754</f>
        <v>0.021220159151193633</v>
      </c>
      <c r="W46" s="346">
        <f>'Appendix - World Energy 2004'!W82/754</f>
        <v>0.916445623342175</v>
      </c>
      <c r="X46" s="346">
        <f>'Appendix - World Energy 2004'!X82/754</f>
        <v>0</v>
      </c>
      <c r="Y46" s="346">
        <f>'Appendix - World Energy 2004'!Y82/754</f>
        <v>72.72015915119363</v>
      </c>
    </row>
    <row r="47" spans="1:25" ht="8.25">
      <c r="A47" s="345" t="s">
        <v>452</v>
      </c>
      <c r="B47" s="346">
        <f>'Appendix - World Energy 2004'!B83/754</f>
        <v>151.43633952254643</v>
      </c>
      <c r="C47" s="346">
        <f>'Appendix - World Energy 2004'!C83/754</f>
        <v>0.45490716180371354</v>
      </c>
      <c r="D47" s="346">
        <f>'Appendix - World Energy 2004'!D83/754</f>
        <v>666.2281167108754</v>
      </c>
      <c r="E47" s="346">
        <f>'Appendix - World Energy 2004'!E83/754</f>
        <v>778.2466843501327</v>
      </c>
      <c r="F47" s="346">
        <f>'Appendix - World Energy 2004'!F83/754</f>
        <v>0</v>
      </c>
      <c r="G47" s="346">
        <f>'Appendix - World Energy 2004'!G83/754</f>
        <v>0</v>
      </c>
      <c r="H47" s="346">
        <f>'Appendix - World Energy 2004'!H83/754</f>
        <v>0</v>
      </c>
      <c r="I47" s="346">
        <f>'Appendix - World Energy 2004'!I83/754</f>
        <v>1145.7732095490717</v>
      </c>
      <c r="J47" s="346">
        <f>'Appendix - World Energy 2004'!J83/754</f>
        <v>932.9801061007958</v>
      </c>
      <c r="K47" s="346">
        <f>'Appendix - World Energy 2004'!K83/754</f>
        <v>204.9893899204244</v>
      </c>
      <c r="L47" s="346">
        <f>'Appendix - World Energy 2004'!L83/754</f>
        <v>3889.42175066313</v>
      </c>
      <c r="N47" s="345" t="s">
        <v>452</v>
      </c>
      <c r="O47" s="346">
        <f>'Appendix - World Energy 2004'!O83/754</f>
        <v>1.4257294429708223</v>
      </c>
      <c r="P47" s="346">
        <f>'Appendix - World Energy 2004'!P83/754</f>
        <v>0</v>
      </c>
      <c r="Q47" s="346">
        <f>'Appendix - World Energy 2004'!Q83/754</f>
        <v>5.913793103448276</v>
      </c>
      <c r="R47" s="346">
        <f>'Appendix - World Energy 2004'!R83/754</f>
        <v>51.97082228116711</v>
      </c>
      <c r="S47" s="346">
        <f>'Appendix - World Energy 2004'!S83/754</f>
        <v>0</v>
      </c>
      <c r="T47" s="346">
        <f>'Appendix - World Energy 2004'!T83/754</f>
        <v>0</v>
      </c>
      <c r="U47" s="346">
        <f>'Appendix - World Energy 2004'!U83/754</f>
        <v>0.033156498673740056</v>
      </c>
      <c r="V47" s="346">
        <f>'Appendix - World Energy 2004'!V83/754</f>
        <v>0.5557029177718833</v>
      </c>
      <c r="W47" s="346">
        <f>'Appendix - World Energy 2004'!W83/754</f>
        <v>24.50663129973475</v>
      </c>
      <c r="X47" s="346">
        <f>'Appendix - World Energy 2004'!X83/754</f>
        <v>1.2625994694960212</v>
      </c>
      <c r="Y47" s="346">
        <f>'Appendix - World Energy 2004'!Y83/754</f>
        <v>85.6684350132626</v>
      </c>
    </row>
    <row r="48" spans="1:25" ht="8.25">
      <c r="A48" s="349" t="s">
        <v>425</v>
      </c>
      <c r="B48" s="348">
        <f>'Appendix - World Energy 2004'!B84/754</f>
        <v>99.04641909814323</v>
      </c>
      <c r="C48" s="348">
        <f>'Appendix - World Energy 2004'!C84/754</f>
        <v>0</v>
      </c>
      <c r="D48" s="348">
        <f>'Appendix - World Energy 2004'!D84/754</f>
        <v>320.45092838196285</v>
      </c>
      <c r="E48" s="348">
        <f>'Appendix - World Energy 2004'!E84/754</f>
        <v>536.8846153846154</v>
      </c>
      <c r="F48" s="348">
        <f>'Appendix - World Energy 2004'!F84/754</f>
        <v>0</v>
      </c>
      <c r="G48" s="348">
        <f>'Appendix - World Energy 2004'!G84/754</f>
        <v>0</v>
      </c>
      <c r="H48" s="348">
        <f>'Appendix - World Energy 2004'!H84/754</f>
        <v>0</v>
      </c>
      <c r="I48" s="348">
        <f>'Appendix - World Energy 2004'!I84/754</f>
        <v>1095.1153846153845</v>
      </c>
      <c r="J48" s="348">
        <f>'Appendix - World Energy 2004'!J84/754</f>
        <v>461.62997347480103</v>
      </c>
      <c r="K48" s="348">
        <f>'Appendix - World Energy 2004'!K84/754</f>
        <v>157.72944297082228</v>
      </c>
      <c r="L48" s="348">
        <f>'Appendix - World Energy 2004'!L84/754</f>
        <v>2678.372679045093</v>
      </c>
      <c r="N48" s="349" t="s">
        <v>425</v>
      </c>
      <c r="O48" s="348">
        <f>'Appendix - World Energy 2004'!O84/754</f>
        <v>1.3660477453580901</v>
      </c>
      <c r="P48" s="348">
        <f>'Appendix - World Energy 2004'!P84/754</f>
        <v>0</v>
      </c>
      <c r="Q48" s="348">
        <f>'Appendix - World Energy 2004'!Q84/754</f>
        <v>3.90053050397878</v>
      </c>
      <c r="R48" s="348">
        <f>'Appendix - World Energy 2004'!R84/754</f>
        <v>40.673740053050395</v>
      </c>
      <c r="S48" s="348">
        <f>'Appendix - World Energy 2004'!S84/754</f>
        <v>0</v>
      </c>
      <c r="T48" s="348">
        <f>'Appendix - World Energy 2004'!T84/754</f>
        <v>0</v>
      </c>
      <c r="U48" s="348">
        <f>'Appendix - World Energy 2004'!U84/754</f>
        <v>0</v>
      </c>
      <c r="V48" s="348">
        <f>'Appendix - World Energy 2004'!V84/754</f>
        <v>0.29973474801061006</v>
      </c>
      <c r="W48" s="348">
        <f>'Appendix - World Energy 2004'!W84/754</f>
        <v>13.176392572944296</v>
      </c>
      <c r="X48" s="348">
        <f>'Appendix - World Energy 2004'!X84/754</f>
        <v>0.06896551724137931</v>
      </c>
      <c r="Y48" s="348">
        <f>'Appendix - World Energy 2004'!Y84/754</f>
        <v>59.48541114058355</v>
      </c>
    </row>
    <row r="49" spans="1:25" ht="16.5">
      <c r="A49" s="349" t="s">
        <v>426</v>
      </c>
      <c r="B49" s="348">
        <f>'Appendix - World Energy 2004'!B85/754</f>
        <v>20.189655172413794</v>
      </c>
      <c r="C49" s="348">
        <f>'Appendix - World Energy 2004'!C85/754</f>
        <v>0</v>
      </c>
      <c r="D49" s="348">
        <f>'Appendix - World Energy 2004'!D85/754</f>
        <v>156.90450928381964</v>
      </c>
      <c r="E49" s="348">
        <f>'Appendix - World Energy 2004'!E85/754</f>
        <v>199.07427055702917</v>
      </c>
      <c r="F49" s="348">
        <f>'Appendix - World Energy 2004'!F85/754</f>
        <v>0</v>
      </c>
      <c r="G49" s="348">
        <f>'Appendix - World Energy 2004'!G85/754</f>
        <v>0</v>
      </c>
      <c r="H49" s="348">
        <f>'Appendix - World Energy 2004'!H85/754</f>
        <v>0</v>
      </c>
      <c r="I49" s="348">
        <f>'Appendix - World Energy 2004'!I85/754</f>
        <v>9.315649867374006</v>
      </c>
      <c r="J49" s="348">
        <f>'Appendix - World Energy 2004'!J85/754</f>
        <v>377.5</v>
      </c>
      <c r="K49" s="348">
        <f>'Appendix - World Energy 2004'!K85/754</f>
        <v>27.663129973474803</v>
      </c>
      <c r="L49" s="348">
        <f>'Appendix - World Energy 2004'!L85/754</f>
        <v>791.7758620689655</v>
      </c>
      <c r="N49" s="349" t="s">
        <v>426</v>
      </c>
      <c r="O49" s="348">
        <f>'Appendix - World Energy 2004'!O85/754</f>
        <v>0.046419098143236075</v>
      </c>
      <c r="P49" s="348">
        <f>'Appendix - World Energy 2004'!P85/754</f>
        <v>0</v>
      </c>
      <c r="Q49" s="348">
        <f>'Appendix - World Energy 2004'!Q85/754</f>
        <v>1.1180371352785146</v>
      </c>
      <c r="R49" s="348">
        <f>'Appendix - World Energy 2004'!R85/754</f>
        <v>8.917771883289126</v>
      </c>
      <c r="S49" s="348">
        <f>'Appendix - World Energy 2004'!S85/754</f>
        <v>0</v>
      </c>
      <c r="T49" s="348">
        <f>'Appendix - World Energy 2004'!T85/754</f>
        <v>0</v>
      </c>
      <c r="U49" s="348">
        <f>'Appendix - World Energy 2004'!U85/754</f>
        <v>0</v>
      </c>
      <c r="V49" s="348">
        <f>'Appendix - World Energy 2004'!V85/754</f>
        <v>0.14588859416445624</v>
      </c>
      <c r="W49" s="348">
        <f>'Appendix - World Energy 2004'!W85/754</f>
        <v>10.851458885941645</v>
      </c>
      <c r="X49" s="348">
        <f>'Appendix - World Energy 2004'!X85/754</f>
        <v>1.193633952254642</v>
      </c>
      <c r="Y49" s="348">
        <f>'Appendix - World Energy 2004'!Y85/754</f>
        <v>22.27320954907162</v>
      </c>
    </row>
    <row r="50" spans="1:25" ht="16.5">
      <c r="A50" s="349" t="s">
        <v>427</v>
      </c>
      <c r="B50" s="348">
        <f>'Appendix - World Energy 2004'!B86/754</f>
        <v>19.6657824933687</v>
      </c>
      <c r="C50" s="348">
        <f>'Appendix - World Energy 2004'!C86/754</f>
        <v>0.014588859416445624</v>
      </c>
      <c r="D50" s="348">
        <f>'Appendix - World Energy 2004'!D86/754</f>
        <v>141.33289124668434</v>
      </c>
      <c r="E50" s="348">
        <f>'Appendix - World Energy 2004'!E86/754</f>
        <v>8.591511936339522</v>
      </c>
      <c r="F50" s="348">
        <f>'Appendix - World Energy 2004'!F86/754</f>
        <v>0</v>
      </c>
      <c r="G50" s="348">
        <f>'Appendix - World Energy 2004'!G86/754</f>
        <v>0</v>
      </c>
      <c r="H50" s="348">
        <f>'Appendix - World Energy 2004'!H86/754</f>
        <v>0</v>
      </c>
      <c r="I50" s="348">
        <f>'Appendix - World Energy 2004'!I86/754</f>
        <v>8.771883289124668</v>
      </c>
      <c r="J50" s="348">
        <f>'Appendix - World Energy 2004'!J86/754</f>
        <v>43.210875331564985</v>
      </c>
      <c r="K50" s="348">
        <f>'Appendix - World Energy 2004'!K86/754</f>
        <v>4.884615384615385</v>
      </c>
      <c r="L50" s="348">
        <f>'Appendix - World Energy 2004'!L86/754</f>
        <v>226.73474801061008</v>
      </c>
      <c r="N50" s="349" t="s">
        <v>427</v>
      </c>
      <c r="O50" s="348">
        <f>'Appendix - World Energy 2004'!O86/754</f>
        <v>0.006631299734748011</v>
      </c>
      <c r="P50" s="348">
        <f>'Appendix - World Energy 2004'!P86/754</f>
        <v>0</v>
      </c>
      <c r="Q50" s="348">
        <f>'Appendix - World Energy 2004'!Q86/754</f>
        <v>0.34880636604774534</v>
      </c>
      <c r="R50" s="348">
        <f>'Appendix - World Energy 2004'!R86/754</f>
        <v>0.2413793103448276</v>
      </c>
      <c r="S50" s="348">
        <f>'Appendix - World Energy 2004'!S86/754</f>
        <v>0</v>
      </c>
      <c r="T50" s="348">
        <f>'Appendix - World Energy 2004'!T86/754</f>
        <v>0</v>
      </c>
      <c r="U50" s="348">
        <f>'Appendix - World Energy 2004'!U86/754</f>
        <v>0</v>
      </c>
      <c r="V50" s="348">
        <f>'Appendix - World Energy 2004'!V86/754</f>
        <v>0.09814323607427056</v>
      </c>
      <c r="W50" s="348">
        <f>'Appendix - World Energy 2004'!W86/754</f>
        <v>0.47877984084880637</v>
      </c>
      <c r="X50" s="348">
        <f>'Appendix - World Energy 2004'!X86/754</f>
        <v>0</v>
      </c>
      <c r="Y50" s="348">
        <f>'Appendix - World Energy 2004'!Y86/754</f>
        <v>1.1750663129973475</v>
      </c>
    </row>
    <row r="51" spans="1:25" ht="8.25">
      <c r="A51" s="349" t="s">
        <v>428</v>
      </c>
      <c r="B51" s="348">
        <f>'Appendix - World Energy 2004'!B87/754</f>
        <v>0</v>
      </c>
      <c r="C51" s="348">
        <f>'Appendix - World Energy 2004'!C87/754</f>
        <v>0</v>
      </c>
      <c r="D51" s="348">
        <f>'Appendix - World Energy 2004'!D87/754</f>
        <v>9.725464190981432</v>
      </c>
      <c r="E51" s="348">
        <f>'Appendix - World Energy 2004'!E87/754</f>
        <v>0</v>
      </c>
      <c r="F51" s="348">
        <f>'Appendix - World Energy 2004'!F87/754</f>
        <v>0</v>
      </c>
      <c r="G51" s="348">
        <f>'Appendix - World Energy 2004'!G87/754</f>
        <v>0</v>
      </c>
      <c r="H51" s="348">
        <f>'Appendix - World Energy 2004'!H87/754</f>
        <v>0</v>
      </c>
      <c r="I51" s="348">
        <f>'Appendix - World Energy 2004'!I87/754</f>
        <v>0</v>
      </c>
      <c r="J51" s="348">
        <f>'Appendix - World Energy 2004'!J87/754</f>
        <v>0.2639257294429708</v>
      </c>
      <c r="K51" s="348">
        <f>'Appendix - World Energy 2004'!K87/754</f>
        <v>0.001326259946949602</v>
      </c>
      <c r="L51" s="348">
        <f>'Appendix - World Energy 2004'!L87/754</f>
        <v>9.992042440318302</v>
      </c>
      <c r="N51" s="349" t="s">
        <v>428</v>
      </c>
      <c r="O51" s="348">
        <f>'Appendix - World Energy 2004'!O87/754</f>
        <v>0</v>
      </c>
      <c r="P51" s="348">
        <f>'Appendix - World Energy 2004'!P87/754</f>
        <v>0</v>
      </c>
      <c r="Q51" s="348">
        <f>'Appendix - World Energy 2004'!Q87/754</f>
        <v>0</v>
      </c>
      <c r="R51" s="348">
        <f>'Appendix - World Energy 2004'!R87/754</f>
        <v>0</v>
      </c>
      <c r="S51" s="348">
        <f>'Appendix - World Energy 2004'!S87/754</f>
        <v>0</v>
      </c>
      <c r="T51" s="348">
        <f>'Appendix - World Energy 2004'!T87/754</f>
        <v>0</v>
      </c>
      <c r="U51" s="348">
        <f>'Appendix - World Energy 2004'!U87/754</f>
        <v>0</v>
      </c>
      <c r="V51" s="348">
        <f>'Appendix - World Energy 2004'!V87/754</f>
        <v>0</v>
      </c>
      <c r="W51" s="348">
        <f>'Appendix - World Energy 2004'!W87/754</f>
        <v>0</v>
      </c>
      <c r="X51" s="348">
        <f>'Appendix - World Energy 2004'!X87/754</f>
        <v>0</v>
      </c>
      <c r="Y51" s="348">
        <f>'Appendix - World Energy 2004'!Y87/754</f>
        <v>0</v>
      </c>
    </row>
    <row r="52" spans="1:25" ht="8.25">
      <c r="A52" s="349" t="s">
        <v>429</v>
      </c>
      <c r="B52" s="348">
        <f>'Appendix - World Energy 2004'!B88/754</f>
        <v>12.53448275862069</v>
      </c>
      <c r="C52" s="348">
        <f>'Appendix - World Energy 2004'!C88/754</f>
        <v>0.4403183023872679</v>
      </c>
      <c r="D52" s="348">
        <f>'Appendix - World Energy 2004'!D88/754</f>
        <v>37.814323607427056</v>
      </c>
      <c r="E52" s="348">
        <f>'Appendix - World Energy 2004'!E88/754</f>
        <v>33.69628647214854</v>
      </c>
      <c r="F52" s="348">
        <f>'Appendix - World Energy 2004'!F88/754</f>
        <v>0</v>
      </c>
      <c r="G52" s="348">
        <f>'Appendix - World Energy 2004'!G88/754</f>
        <v>0</v>
      </c>
      <c r="H52" s="348">
        <f>'Appendix - World Energy 2004'!H88/754</f>
        <v>0</v>
      </c>
      <c r="I52" s="348">
        <f>'Appendix - World Energy 2004'!I88/754</f>
        <v>32.57029177718833</v>
      </c>
      <c r="J52" s="348">
        <f>'Appendix - World Energy 2004'!J88/754</f>
        <v>50.37533156498674</v>
      </c>
      <c r="K52" s="348">
        <f>'Appendix - World Energy 2004'!K88/754</f>
        <v>14.710875331564987</v>
      </c>
      <c r="L52" s="348">
        <f>'Appendix - World Energy 2004'!L88/754</f>
        <v>182.5477453580902</v>
      </c>
      <c r="N52" s="349" t="s">
        <v>429</v>
      </c>
      <c r="O52" s="348">
        <f>'Appendix - World Energy 2004'!O88/754</f>
        <v>0.006631299734748011</v>
      </c>
      <c r="P52" s="348">
        <f>'Appendix - World Energy 2004'!P88/754</f>
        <v>0</v>
      </c>
      <c r="Q52" s="348">
        <f>'Appendix - World Energy 2004'!Q88/754</f>
        <v>0.5450928381962865</v>
      </c>
      <c r="R52" s="348">
        <f>'Appendix - World Energy 2004'!R88/754</f>
        <v>2.1379310344827585</v>
      </c>
      <c r="S52" s="348">
        <f>'Appendix - World Energy 2004'!S88/754</f>
        <v>0</v>
      </c>
      <c r="T52" s="348">
        <f>'Appendix - World Energy 2004'!T88/754</f>
        <v>0</v>
      </c>
      <c r="U52" s="348">
        <f>'Appendix - World Energy 2004'!U88/754</f>
        <v>0.033156498673740056</v>
      </c>
      <c r="V52" s="348">
        <f>'Appendix - World Energy 2004'!V88/754</f>
        <v>0.011936339522546418</v>
      </c>
      <c r="W52" s="348">
        <f>'Appendix - World Energy 2004'!W88/754</f>
        <v>0</v>
      </c>
      <c r="X52" s="348">
        <f>'Appendix - World Energy 2004'!X88/754</f>
        <v>0</v>
      </c>
      <c r="Y52" s="348">
        <f>'Appendix - World Energy 2004'!Y88/754</f>
        <v>2.7347480106100797</v>
      </c>
    </row>
    <row r="53" spans="1:25" ht="16.5">
      <c r="A53" s="345" t="s">
        <v>444</v>
      </c>
      <c r="B53" s="346">
        <f>'Appendix - World Energy 2004'!B89/754</f>
        <v>36.44562334217507</v>
      </c>
      <c r="C53" s="346">
        <f>'Appendix - World Energy 2004'!C89/754</f>
        <v>8.828912466843502</v>
      </c>
      <c r="D53" s="346">
        <f>'Appendix - World Energy 2004'!D89/754</f>
        <v>709.2997347480106</v>
      </c>
      <c r="E53" s="346">
        <f>'Appendix - World Energy 2004'!E89/754</f>
        <v>145.09549071618036</v>
      </c>
      <c r="F53" s="346">
        <f>'Appendix - World Energy 2004'!F89/754</f>
        <v>0</v>
      </c>
      <c r="G53" s="346">
        <f>'Appendix - World Energy 2004'!G89/754</f>
        <v>0</v>
      </c>
      <c r="H53" s="346">
        <f>'Appendix - World Energy 2004'!H89/754</f>
        <v>0</v>
      </c>
      <c r="I53" s="346">
        <f>'Appendix - World Energy 2004'!I89/754</f>
        <v>0.6989389920424404</v>
      </c>
      <c r="J53" s="346">
        <f>'Appendix - World Energy 2004'!J89/754</f>
        <v>0</v>
      </c>
      <c r="K53" s="346">
        <f>'Appendix - World Energy 2004'!K89/754</f>
        <v>0</v>
      </c>
      <c r="L53" s="346">
        <f>'Appendix - World Energy 2004'!L89/754</f>
        <v>900.3700265251989</v>
      </c>
      <c r="N53" s="345" t="s">
        <v>444</v>
      </c>
      <c r="O53" s="346">
        <f>'Appendix - World Energy 2004'!O89/754</f>
        <v>0</v>
      </c>
      <c r="P53" s="346">
        <f>'Appendix - World Energy 2004'!P89/754</f>
        <v>0</v>
      </c>
      <c r="Q53" s="346">
        <f>'Appendix - World Energy 2004'!Q89/754</f>
        <v>14.258620689655173</v>
      </c>
      <c r="R53" s="346">
        <f>'Appendix - World Energy 2004'!R89/754</f>
        <v>1.0278514588859415</v>
      </c>
      <c r="S53" s="346">
        <f>'Appendix - World Energy 2004'!S89/754</f>
        <v>0</v>
      </c>
      <c r="T53" s="346">
        <f>'Appendix - World Energy 2004'!T89/754</f>
        <v>0</v>
      </c>
      <c r="U53" s="346">
        <f>'Appendix - World Energy 2004'!U89/754</f>
        <v>0</v>
      </c>
      <c r="V53" s="346">
        <f>'Appendix - World Energy 2004'!V89/754</f>
        <v>0</v>
      </c>
      <c r="W53" s="346">
        <f>'Appendix - World Energy 2004'!W89/754</f>
        <v>0</v>
      </c>
      <c r="X53" s="346">
        <f>'Appendix - World Energy 2004'!X89/754</f>
        <v>0</v>
      </c>
      <c r="Y53" s="346">
        <f>'Appendix - World Energy 2004'!Y89/754</f>
        <v>15.286472148541113</v>
      </c>
    </row>
    <row r="54" spans="1:25" ht="8.25">
      <c r="A54" s="351" t="s">
        <v>430</v>
      </c>
      <c r="B54" s="352">
        <f>'Appendix - World Energy 2004'!B90/754</f>
        <v>5.3514588859416445</v>
      </c>
      <c r="C54" s="352">
        <f>'Appendix - World Energy 2004'!C90/754</f>
        <v>8.683023872679046</v>
      </c>
      <c r="D54" s="352">
        <f>'Appendix - World Energy 2004'!D90/754</f>
        <v>444.6551724137931</v>
      </c>
      <c r="E54" s="352">
        <f>'Appendix - World Energy 2004'!E90/754</f>
        <v>142.15649867374006</v>
      </c>
      <c r="F54" s="352">
        <f>'Appendix - World Energy 2004'!F90/754</f>
        <v>0</v>
      </c>
      <c r="G54" s="352">
        <f>'Appendix - World Energy 2004'!G90/754</f>
        <v>0</v>
      </c>
      <c r="H54" s="352">
        <f>'Appendix - World Energy 2004'!H90/754</f>
        <v>0</v>
      </c>
      <c r="I54" s="352">
        <f>'Appendix - World Energy 2004'!I90/754</f>
        <v>0.6989389920424404</v>
      </c>
      <c r="J54" s="352">
        <f>'Appendix - World Energy 2004'!J90/754</f>
        <v>0</v>
      </c>
      <c r="K54" s="352">
        <f>'Appendix - World Energy 2004'!K90/754</f>
        <v>0</v>
      </c>
      <c r="L54" s="352">
        <f>'Appendix - World Energy 2004'!L90/754</f>
        <v>601.5450928381963</v>
      </c>
      <c r="N54" s="351" t="s">
        <v>430</v>
      </c>
      <c r="O54" s="352">
        <f>'Appendix - World Energy 2004'!O90/754</f>
        <v>0</v>
      </c>
      <c r="P54" s="352">
        <f>'Appendix - World Energy 2004'!P90/754</f>
        <v>0</v>
      </c>
      <c r="Q54" s="352">
        <f>'Appendix - World Energy 2004'!Q90/754</f>
        <v>8.407161803713528</v>
      </c>
      <c r="R54" s="352">
        <f>'Appendix - World Energy 2004'!R90/754</f>
        <v>1.0278514588859415</v>
      </c>
      <c r="S54" s="352">
        <f>'Appendix - World Energy 2004'!S90/754</f>
        <v>0</v>
      </c>
      <c r="T54" s="352">
        <f>'Appendix - World Energy 2004'!T90/754</f>
        <v>0</v>
      </c>
      <c r="U54" s="352">
        <f>'Appendix - World Energy 2004'!U90/754</f>
        <v>0</v>
      </c>
      <c r="V54" s="352">
        <f>'Appendix - World Energy 2004'!V90/754</f>
        <v>0</v>
      </c>
      <c r="W54" s="352">
        <f>'Appendix - World Energy 2004'!W90/754</f>
        <v>0</v>
      </c>
      <c r="X54" s="352">
        <f>'Appendix - World Energy 2004'!X90/754</f>
        <v>0</v>
      </c>
      <c r="Y54" s="352">
        <f>'Appendix - World Energy 2004'!Y90/754</f>
        <v>9.435013262599469</v>
      </c>
    </row>
    <row r="55" spans="1:25" ht="16.5">
      <c r="A55" s="353" t="s">
        <v>431</v>
      </c>
      <c r="B55" s="354">
        <f>'Appendix - World Energy 2004'!B91/754</f>
        <v>0</v>
      </c>
      <c r="C55" s="354">
        <f>'Appendix - World Energy 2004'!C91/754</f>
        <v>0</v>
      </c>
      <c r="D55" s="354">
        <f>'Appendix - World Energy 2004'!D91/754</f>
        <v>0</v>
      </c>
      <c r="E55" s="354">
        <f>'Appendix - World Energy 2004'!E91/754</f>
        <v>0</v>
      </c>
      <c r="F55" s="354">
        <f>'Appendix - World Energy 2004'!F91/754</f>
        <v>0</v>
      </c>
      <c r="G55" s="354">
        <f>'Appendix - World Energy 2004'!G91/754</f>
        <v>0</v>
      </c>
      <c r="H55" s="354">
        <f>'Appendix - World Energy 2004'!H91/754</f>
        <v>0</v>
      </c>
      <c r="I55" s="354">
        <f>'Appendix - World Energy 2004'!I91/754</f>
        <v>0</v>
      </c>
      <c r="J55" s="354">
        <f>'Appendix - World Energy 2004'!J91/754</f>
        <v>0</v>
      </c>
      <c r="K55" s="354">
        <f>'Appendix - World Energy 2004'!K91/754</f>
        <v>0</v>
      </c>
      <c r="L55" s="354">
        <f>'Appendix - World Energy 2004'!L91/754</f>
        <v>0</v>
      </c>
      <c r="N55" s="353" t="s">
        <v>431</v>
      </c>
      <c r="O55" s="354">
        <f>'Appendix - World Energy 2004'!O91/754</f>
        <v>0</v>
      </c>
      <c r="P55" s="354">
        <f>'Appendix - World Energy 2004'!P91/754</f>
        <v>0</v>
      </c>
      <c r="Q55" s="354">
        <f>'Appendix - World Energy 2004'!Q91/754</f>
        <v>0</v>
      </c>
      <c r="R55" s="354">
        <f>'Appendix - World Energy 2004'!R91/754</f>
        <v>0</v>
      </c>
      <c r="S55" s="354">
        <f>'Appendix - World Energy 2004'!S91/754</f>
        <v>0</v>
      </c>
      <c r="T55" s="354">
        <f>'Appendix - World Energy 2004'!T91/754</f>
        <v>0</v>
      </c>
      <c r="U55" s="354">
        <f>'Appendix - World Energy 2004'!U91/754</f>
        <v>0</v>
      </c>
      <c r="V55" s="354">
        <f>'Appendix - World Energy 2004'!V91/754</f>
        <v>0</v>
      </c>
      <c r="W55" s="354">
        <f>'Appendix - World Energy 2004'!W91/754</f>
        <v>0</v>
      </c>
      <c r="X55" s="354">
        <f>'Appendix - World Energy 2004'!X91/754</f>
        <v>0</v>
      </c>
      <c r="Y55" s="354">
        <f>'Appendix - World Energy 2004'!Y91/754</f>
        <v>0</v>
      </c>
    </row>
    <row r="56" spans="1:25" ht="8.25">
      <c r="A56" s="355"/>
      <c r="B56" s="356"/>
      <c r="C56" s="356"/>
      <c r="D56" s="356"/>
      <c r="E56" s="356"/>
      <c r="F56" s="356"/>
      <c r="G56" s="356"/>
      <c r="H56" s="356"/>
      <c r="I56" s="356"/>
      <c r="J56" s="356"/>
      <c r="K56" s="356"/>
      <c r="L56" s="356"/>
      <c r="N56" s="355"/>
      <c r="O56" s="356"/>
      <c r="P56" s="356"/>
      <c r="Q56" s="356"/>
      <c r="R56" s="356"/>
      <c r="S56" s="356"/>
      <c r="T56" s="356"/>
      <c r="U56" s="356"/>
      <c r="V56" s="356"/>
      <c r="W56" s="356"/>
      <c r="X56" s="356"/>
      <c r="Y56" s="356"/>
    </row>
    <row r="57" spans="1:25" ht="8.25">
      <c r="A57" s="355"/>
      <c r="B57" s="356"/>
      <c r="C57" s="356"/>
      <c r="D57" s="356"/>
      <c r="E57" s="356"/>
      <c r="F57" s="356"/>
      <c r="G57" s="356"/>
      <c r="H57" s="356"/>
      <c r="I57" s="356"/>
      <c r="J57" s="356"/>
      <c r="K57" s="356"/>
      <c r="L57" s="356"/>
      <c r="N57" s="355"/>
      <c r="O57" s="356"/>
      <c r="P57" s="356"/>
      <c r="Q57" s="356"/>
      <c r="R57" s="356"/>
      <c r="S57" s="356"/>
      <c r="T57" s="356"/>
      <c r="U57" s="356"/>
      <c r="V57" s="356"/>
      <c r="W57" s="356"/>
      <c r="X57" s="356"/>
      <c r="Y57" s="356"/>
    </row>
    <row r="58" spans="1:14" ht="12.75">
      <c r="A58" s="337" t="s">
        <v>453</v>
      </c>
      <c r="N58" s="337" t="s">
        <v>453</v>
      </c>
    </row>
    <row r="59" spans="1:25" s="358" customFormat="1" ht="8.25">
      <c r="A59" s="718" t="s">
        <v>442</v>
      </c>
      <c r="B59" s="715" t="s">
        <v>109</v>
      </c>
      <c r="C59" s="357" t="s">
        <v>404</v>
      </c>
      <c r="D59" s="357" t="s">
        <v>405</v>
      </c>
      <c r="E59" s="715" t="s">
        <v>110</v>
      </c>
      <c r="F59" s="715" t="s">
        <v>3</v>
      </c>
      <c r="G59" s="715" t="s">
        <v>403</v>
      </c>
      <c r="H59" s="357" t="s">
        <v>406</v>
      </c>
      <c r="I59" s="357" t="s">
        <v>408</v>
      </c>
      <c r="J59" s="715" t="s">
        <v>7</v>
      </c>
      <c r="K59" s="715" t="s">
        <v>204</v>
      </c>
      <c r="L59" s="715" t="s">
        <v>16</v>
      </c>
      <c r="N59" s="718" t="s">
        <v>442</v>
      </c>
      <c r="O59" s="715" t="s">
        <v>109</v>
      </c>
      <c r="P59" s="357" t="s">
        <v>404</v>
      </c>
      <c r="Q59" s="357" t="s">
        <v>405</v>
      </c>
      <c r="R59" s="715" t="s">
        <v>110</v>
      </c>
      <c r="S59" s="715" t="s">
        <v>3</v>
      </c>
      <c r="T59" s="715" t="s">
        <v>403</v>
      </c>
      <c r="U59" s="357" t="s">
        <v>406</v>
      </c>
      <c r="V59" s="357" t="s">
        <v>408</v>
      </c>
      <c r="W59" s="715" t="s">
        <v>7</v>
      </c>
      <c r="X59" s="715" t="s">
        <v>204</v>
      </c>
      <c r="Y59" s="715" t="s">
        <v>16</v>
      </c>
    </row>
    <row r="60" spans="1:25" s="358" customFormat="1" ht="8.25">
      <c r="A60" s="719"/>
      <c r="B60" s="716"/>
      <c r="C60" s="359" t="s">
        <v>335</v>
      </c>
      <c r="D60" s="359" t="s">
        <v>140</v>
      </c>
      <c r="E60" s="716"/>
      <c r="F60" s="716"/>
      <c r="G60" s="716"/>
      <c r="H60" s="359" t="s">
        <v>407</v>
      </c>
      <c r="I60" s="359" t="s">
        <v>409</v>
      </c>
      <c r="J60" s="716"/>
      <c r="K60" s="716"/>
      <c r="L60" s="716"/>
      <c r="N60" s="719"/>
      <c r="O60" s="716"/>
      <c r="P60" s="359" t="s">
        <v>335</v>
      </c>
      <c r="Q60" s="359" t="s">
        <v>140</v>
      </c>
      <c r="R60" s="716"/>
      <c r="S60" s="716"/>
      <c r="T60" s="716"/>
      <c r="U60" s="359" t="s">
        <v>407</v>
      </c>
      <c r="V60" s="359" t="s">
        <v>409</v>
      </c>
      <c r="W60" s="716"/>
      <c r="X60" s="716"/>
      <c r="Y60" s="716"/>
    </row>
    <row r="61" spans="1:25" s="358" customFormat="1" ht="8.25">
      <c r="A61" s="720"/>
      <c r="B61" s="717"/>
      <c r="C61" s="361"/>
      <c r="D61" s="361"/>
      <c r="E61" s="717"/>
      <c r="F61" s="717"/>
      <c r="G61" s="717"/>
      <c r="H61" s="361"/>
      <c r="I61" s="360" t="s">
        <v>410</v>
      </c>
      <c r="J61" s="717"/>
      <c r="K61" s="717"/>
      <c r="L61" s="717"/>
      <c r="N61" s="720"/>
      <c r="O61" s="717"/>
      <c r="P61" s="361"/>
      <c r="Q61" s="361"/>
      <c r="R61" s="717"/>
      <c r="S61" s="717"/>
      <c r="T61" s="717"/>
      <c r="U61" s="361"/>
      <c r="V61" s="360" t="s">
        <v>410</v>
      </c>
      <c r="W61" s="717"/>
      <c r="X61" s="717"/>
      <c r="Y61" s="717"/>
    </row>
    <row r="62" spans="1:25" s="358" customFormat="1" ht="8.25">
      <c r="A62" s="362" t="s">
        <v>411</v>
      </c>
      <c r="B62" s="363">
        <v>2750165</v>
      </c>
      <c r="C62" s="363">
        <v>3955645</v>
      </c>
      <c r="D62" s="363">
        <v>0</v>
      </c>
      <c r="E62" s="363">
        <v>2320689</v>
      </c>
      <c r="F62" s="363">
        <v>714065</v>
      </c>
      <c r="G62" s="363">
        <v>241481</v>
      </c>
      <c r="H62" s="363">
        <v>57222</v>
      </c>
      <c r="I62" s="363">
        <v>1173530</v>
      </c>
      <c r="J62" s="363">
        <v>0</v>
      </c>
      <c r="K62" s="363">
        <v>626</v>
      </c>
      <c r="L62" s="363">
        <v>11213423</v>
      </c>
      <c r="N62" s="362" t="s">
        <v>411</v>
      </c>
      <c r="O62" s="363">
        <v>14915</v>
      </c>
      <c r="P62" s="363">
        <v>99587</v>
      </c>
      <c r="Q62" s="363">
        <v>0</v>
      </c>
      <c r="R62" s="363">
        <v>86381</v>
      </c>
      <c r="S62" s="363">
        <v>20848</v>
      </c>
      <c r="T62" s="363">
        <v>424</v>
      </c>
      <c r="U62" s="363">
        <v>192</v>
      </c>
      <c r="V62" s="363">
        <v>2863</v>
      </c>
      <c r="W62" s="363">
        <v>0</v>
      </c>
      <c r="X62" s="363">
        <v>0</v>
      </c>
      <c r="Y62" s="363">
        <v>225211</v>
      </c>
    </row>
    <row r="63" spans="1:25" s="358" customFormat="1" ht="8.25">
      <c r="A63" s="362" t="s">
        <v>207</v>
      </c>
      <c r="B63" s="363">
        <v>517670</v>
      </c>
      <c r="C63" s="363">
        <v>2275948</v>
      </c>
      <c r="D63" s="363">
        <v>844404</v>
      </c>
      <c r="E63" s="363">
        <v>665911</v>
      </c>
      <c r="F63" s="363">
        <v>0</v>
      </c>
      <c r="G63" s="363">
        <v>0</v>
      </c>
      <c r="H63" s="363">
        <v>0</v>
      </c>
      <c r="I63" s="363">
        <v>2211</v>
      </c>
      <c r="J63" s="363">
        <v>46576</v>
      </c>
      <c r="K63" s="363">
        <v>4</v>
      </c>
      <c r="L63" s="363">
        <v>4352723</v>
      </c>
      <c r="N63" s="362" t="s">
        <v>207</v>
      </c>
      <c r="O63" s="363">
        <v>23176</v>
      </c>
      <c r="P63" s="363">
        <v>64678</v>
      </c>
      <c r="Q63" s="363">
        <v>20009</v>
      </c>
      <c r="R63" s="363">
        <v>10292</v>
      </c>
      <c r="S63" s="363">
        <v>0</v>
      </c>
      <c r="T63" s="363">
        <v>0</v>
      </c>
      <c r="U63" s="363">
        <v>0</v>
      </c>
      <c r="V63" s="363">
        <v>208</v>
      </c>
      <c r="W63" s="363">
        <v>841</v>
      </c>
      <c r="X63" s="363">
        <v>0</v>
      </c>
      <c r="Y63" s="363">
        <v>119204</v>
      </c>
    </row>
    <row r="64" spans="1:25" s="358" customFormat="1" ht="8.25">
      <c r="A64" s="362" t="s">
        <v>208</v>
      </c>
      <c r="B64" s="363">
        <v>-493359</v>
      </c>
      <c r="C64" s="363">
        <v>-2195561</v>
      </c>
      <c r="D64" s="363">
        <v>-910793</v>
      </c>
      <c r="E64" s="363">
        <v>-670472</v>
      </c>
      <c r="F64" s="363">
        <v>0</v>
      </c>
      <c r="G64" s="363">
        <v>0</v>
      </c>
      <c r="H64" s="363">
        <v>0</v>
      </c>
      <c r="I64" s="363">
        <v>-2926</v>
      </c>
      <c r="J64" s="363">
        <v>-46994</v>
      </c>
      <c r="K64" s="363">
        <v>-7</v>
      </c>
      <c r="L64" s="363">
        <v>-4320113</v>
      </c>
      <c r="N64" s="362" t="s">
        <v>208</v>
      </c>
      <c r="O64" s="363">
        <v>-593</v>
      </c>
      <c r="P64" s="363">
        <v>-67073</v>
      </c>
      <c r="Q64" s="363">
        <v>-30859</v>
      </c>
      <c r="R64" s="363">
        <v>-8828</v>
      </c>
      <c r="S64" s="363">
        <v>0</v>
      </c>
      <c r="T64" s="363">
        <v>0</v>
      </c>
      <c r="U64" s="363">
        <v>0</v>
      </c>
      <c r="V64" s="363">
        <v>0</v>
      </c>
      <c r="W64" s="363">
        <v>-197</v>
      </c>
      <c r="X64" s="363">
        <v>0</v>
      </c>
      <c r="Y64" s="363">
        <v>-107551</v>
      </c>
    </row>
    <row r="65" spans="1:25" s="358" customFormat="1" ht="16.5">
      <c r="A65" s="362" t="s">
        <v>412</v>
      </c>
      <c r="B65" s="363">
        <v>0</v>
      </c>
      <c r="C65" s="363">
        <v>0</v>
      </c>
      <c r="D65" s="363">
        <v>-163839</v>
      </c>
      <c r="E65" s="363">
        <v>0</v>
      </c>
      <c r="F65" s="363">
        <v>0</v>
      </c>
      <c r="G65" s="363">
        <v>0</v>
      </c>
      <c r="H65" s="363">
        <v>0</v>
      </c>
      <c r="I65" s="363">
        <v>0</v>
      </c>
      <c r="J65" s="363">
        <v>0</v>
      </c>
      <c r="K65" s="363">
        <v>0</v>
      </c>
      <c r="L65" s="363">
        <v>-163839</v>
      </c>
      <c r="N65" s="362" t="s">
        <v>412</v>
      </c>
      <c r="O65" s="363">
        <v>0</v>
      </c>
      <c r="P65" s="363">
        <v>0</v>
      </c>
      <c r="Q65" s="363">
        <v>-2082</v>
      </c>
      <c r="R65" s="363">
        <v>0</v>
      </c>
      <c r="S65" s="363">
        <v>0</v>
      </c>
      <c r="T65" s="363">
        <v>0</v>
      </c>
      <c r="U65" s="363">
        <v>0</v>
      </c>
      <c r="V65" s="363">
        <v>0</v>
      </c>
      <c r="W65" s="363">
        <v>0</v>
      </c>
      <c r="X65" s="363">
        <v>0</v>
      </c>
      <c r="Y65" s="363">
        <v>-2082</v>
      </c>
    </row>
    <row r="66" spans="1:25" s="358" customFormat="1" ht="8.25">
      <c r="A66" s="362" t="s">
        <v>413</v>
      </c>
      <c r="B66" s="363">
        <v>1240</v>
      </c>
      <c r="C66" s="363">
        <v>-12409</v>
      </c>
      <c r="D66" s="363">
        <v>-2616</v>
      </c>
      <c r="E66" s="363">
        <v>-9174</v>
      </c>
      <c r="F66" s="363">
        <v>0</v>
      </c>
      <c r="G66" s="363">
        <v>0</v>
      </c>
      <c r="H66" s="363">
        <v>0</v>
      </c>
      <c r="I66" s="363">
        <v>202</v>
      </c>
      <c r="J66" s="363">
        <v>0</v>
      </c>
      <c r="K66" s="363">
        <v>0</v>
      </c>
      <c r="L66" s="363">
        <v>-22756</v>
      </c>
      <c r="N66" s="362" t="s">
        <v>413</v>
      </c>
      <c r="O66" s="363">
        <v>-14</v>
      </c>
      <c r="P66" s="363">
        <v>-144</v>
      </c>
      <c r="Q66" s="363">
        <v>-452</v>
      </c>
      <c r="R66" s="363">
        <v>-482</v>
      </c>
      <c r="S66" s="363">
        <v>0</v>
      </c>
      <c r="T66" s="363">
        <v>0</v>
      </c>
      <c r="U66" s="363">
        <v>0</v>
      </c>
      <c r="V66" s="363">
        <v>0</v>
      </c>
      <c r="W66" s="363">
        <v>0</v>
      </c>
      <c r="X66" s="363">
        <v>0</v>
      </c>
      <c r="Y66" s="363">
        <v>-1093</v>
      </c>
    </row>
    <row r="67" spans="1:25" s="358" customFormat="1" ht="8.25">
      <c r="A67" s="364" t="s">
        <v>443</v>
      </c>
      <c r="B67" s="365">
        <v>2775716</v>
      </c>
      <c r="C67" s="365">
        <v>4023624</v>
      </c>
      <c r="D67" s="365">
        <v>-232845</v>
      </c>
      <c r="E67" s="365">
        <v>2306954</v>
      </c>
      <c r="F67" s="365">
        <v>714065</v>
      </c>
      <c r="G67" s="365">
        <v>241481</v>
      </c>
      <c r="H67" s="365">
        <v>57222</v>
      </c>
      <c r="I67" s="365">
        <v>1173017</v>
      </c>
      <c r="J67" s="365">
        <v>-419</v>
      </c>
      <c r="K67" s="365">
        <v>623</v>
      </c>
      <c r="L67" s="365">
        <v>11223278</v>
      </c>
      <c r="N67" s="364" t="s">
        <v>443</v>
      </c>
      <c r="O67" s="365">
        <v>37483</v>
      </c>
      <c r="P67" s="365">
        <v>97048</v>
      </c>
      <c r="Q67" s="365">
        <v>-13385</v>
      </c>
      <c r="R67" s="365">
        <v>87363</v>
      </c>
      <c r="S67" s="365">
        <v>20848</v>
      </c>
      <c r="T67" s="365">
        <v>424</v>
      </c>
      <c r="U67" s="365">
        <v>192</v>
      </c>
      <c r="V67" s="365">
        <v>3071</v>
      </c>
      <c r="W67" s="365">
        <v>644</v>
      </c>
      <c r="X67" s="365">
        <v>0</v>
      </c>
      <c r="Y67" s="365">
        <v>233689</v>
      </c>
    </row>
    <row r="68" spans="1:25" s="358" customFormat="1" ht="8.25">
      <c r="A68" s="362" t="s">
        <v>212</v>
      </c>
      <c r="B68" s="363">
        <v>0</v>
      </c>
      <c r="C68" s="363">
        <v>-129560</v>
      </c>
      <c r="D68" s="363">
        <v>143430</v>
      </c>
      <c r="E68" s="363">
        <v>0</v>
      </c>
      <c r="F68" s="363">
        <v>0</v>
      </c>
      <c r="G68" s="363">
        <v>0</v>
      </c>
      <c r="H68" s="363">
        <v>0</v>
      </c>
      <c r="I68" s="363">
        <v>0</v>
      </c>
      <c r="J68" s="363">
        <v>0</v>
      </c>
      <c r="K68" s="363">
        <v>0</v>
      </c>
      <c r="L68" s="363">
        <v>13869</v>
      </c>
      <c r="N68" s="362" t="s">
        <v>212</v>
      </c>
      <c r="O68" s="363">
        <v>0</v>
      </c>
      <c r="P68" s="363">
        <v>-3952</v>
      </c>
      <c r="Q68" s="363">
        <v>3946</v>
      </c>
      <c r="R68" s="363">
        <v>0</v>
      </c>
      <c r="S68" s="363">
        <v>0</v>
      </c>
      <c r="T68" s="363">
        <v>0</v>
      </c>
      <c r="U68" s="363">
        <v>0</v>
      </c>
      <c r="V68" s="363">
        <v>0</v>
      </c>
      <c r="W68" s="363">
        <v>0</v>
      </c>
      <c r="X68" s="363">
        <v>0</v>
      </c>
      <c r="Y68" s="363">
        <v>-6</v>
      </c>
    </row>
    <row r="69" spans="1:25" s="358" customFormat="1" ht="16.5">
      <c r="A69" s="362" t="s">
        <v>414</v>
      </c>
      <c r="B69" s="363">
        <v>18082</v>
      </c>
      <c r="C69" s="363">
        <v>-17509</v>
      </c>
      <c r="D69" s="363">
        <v>1062</v>
      </c>
      <c r="E69" s="363">
        <v>7525</v>
      </c>
      <c r="F69" s="363">
        <v>0</v>
      </c>
      <c r="G69" s="363">
        <v>0</v>
      </c>
      <c r="H69" s="363">
        <v>0</v>
      </c>
      <c r="I69" s="363">
        <v>-5</v>
      </c>
      <c r="J69" s="363">
        <v>-42</v>
      </c>
      <c r="K69" s="363">
        <v>283</v>
      </c>
      <c r="L69" s="363">
        <v>9396</v>
      </c>
      <c r="N69" s="362" t="s">
        <v>414</v>
      </c>
      <c r="O69" s="363">
        <v>-211</v>
      </c>
      <c r="P69" s="363">
        <v>79</v>
      </c>
      <c r="Q69" s="363">
        <v>229</v>
      </c>
      <c r="R69" s="363">
        <v>-139</v>
      </c>
      <c r="S69" s="363">
        <v>0</v>
      </c>
      <c r="T69" s="363">
        <v>0</v>
      </c>
      <c r="U69" s="363">
        <v>0</v>
      </c>
      <c r="V69" s="363">
        <v>0</v>
      </c>
      <c r="W69" s="363">
        <v>-1</v>
      </c>
      <c r="X69" s="363">
        <v>0</v>
      </c>
      <c r="Y69" s="363">
        <v>-43</v>
      </c>
    </row>
    <row r="70" spans="1:25" s="358" customFormat="1" ht="8.25">
      <c r="A70" s="362" t="s">
        <v>415</v>
      </c>
      <c r="B70" s="363">
        <v>-1626656</v>
      </c>
      <c r="C70" s="363">
        <v>-20207</v>
      </c>
      <c r="D70" s="363">
        <v>-225623</v>
      </c>
      <c r="E70" s="363">
        <v>-490563</v>
      </c>
      <c r="F70" s="363">
        <v>-702065</v>
      </c>
      <c r="G70" s="363">
        <v>-241481</v>
      </c>
      <c r="H70" s="363">
        <v>-48367</v>
      </c>
      <c r="I70" s="363">
        <v>-35103</v>
      </c>
      <c r="J70" s="363">
        <v>1337044</v>
      </c>
      <c r="K70" s="363">
        <v>-198</v>
      </c>
      <c r="L70" s="363">
        <v>-2053218</v>
      </c>
      <c r="N70" s="362" t="s">
        <v>415</v>
      </c>
      <c r="O70" s="363">
        <v>-30561</v>
      </c>
      <c r="P70" s="363">
        <v>0</v>
      </c>
      <c r="Q70" s="363">
        <v>-358</v>
      </c>
      <c r="R70" s="363">
        <v>-23052</v>
      </c>
      <c r="S70" s="363">
        <v>-20848</v>
      </c>
      <c r="T70" s="363">
        <v>-424</v>
      </c>
      <c r="U70" s="363">
        <v>-167</v>
      </c>
      <c r="V70" s="363">
        <v>-2210</v>
      </c>
      <c r="W70" s="363">
        <v>31443</v>
      </c>
      <c r="X70" s="363">
        <v>0</v>
      </c>
      <c r="Y70" s="363">
        <v>-46178</v>
      </c>
    </row>
    <row r="71" spans="1:25" s="358" customFormat="1" ht="8.25">
      <c r="A71" s="362" t="s">
        <v>416</v>
      </c>
      <c r="B71" s="363">
        <v>-176653</v>
      </c>
      <c r="C71" s="363">
        <v>-6</v>
      </c>
      <c r="D71" s="363">
        <v>-30776</v>
      </c>
      <c r="E71" s="363">
        <v>-291702</v>
      </c>
      <c r="F71" s="363">
        <v>-12001</v>
      </c>
      <c r="G71" s="363">
        <v>0</v>
      </c>
      <c r="H71" s="363">
        <v>-880</v>
      </c>
      <c r="I71" s="363">
        <v>-33639</v>
      </c>
      <c r="J71" s="363">
        <v>163640</v>
      </c>
      <c r="K71" s="363">
        <v>139447</v>
      </c>
      <c r="L71" s="363">
        <v>-242569</v>
      </c>
      <c r="N71" s="362" t="s">
        <v>416</v>
      </c>
      <c r="O71" s="363">
        <v>-249</v>
      </c>
      <c r="P71" s="363">
        <v>0</v>
      </c>
      <c r="Q71" s="363">
        <v>-279</v>
      </c>
      <c r="R71" s="363">
        <v>-3109</v>
      </c>
      <c r="S71" s="363">
        <v>0</v>
      </c>
      <c r="T71" s="363">
        <v>0</v>
      </c>
      <c r="U71" s="363">
        <v>0</v>
      </c>
      <c r="V71" s="363">
        <v>-142</v>
      </c>
      <c r="W71" s="363">
        <v>2373</v>
      </c>
      <c r="X71" s="363">
        <v>0</v>
      </c>
      <c r="Y71" s="363">
        <v>-1406</v>
      </c>
    </row>
    <row r="72" spans="1:25" s="358" customFormat="1" ht="8.25">
      <c r="A72" s="362" t="s">
        <v>417</v>
      </c>
      <c r="B72" s="363">
        <v>-85993</v>
      </c>
      <c r="C72" s="363">
        <v>-913</v>
      </c>
      <c r="D72" s="363">
        <v>-14855</v>
      </c>
      <c r="E72" s="363">
        <v>-95019</v>
      </c>
      <c r="F72" s="363">
        <v>0</v>
      </c>
      <c r="G72" s="363">
        <v>0</v>
      </c>
      <c r="H72" s="363">
        <v>-94</v>
      </c>
      <c r="I72" s="363">
        <v>-6785</v>
      </c>
      <c r="J72" s="363">
        <v>-376</v>
      </c>
      <c r="K72" s="363">
        <v>158174</v>
      </c>
      <c r="L72" s="363">
        <v>-45861</v>
      </c>
      <c r="N72" s="362" t="s">
        <v>417</v>
      </c>
      <c r="O72" s="363">
        <v>-403</v>
      </c>
      <c r="P72" s="363">
        <v>0</v>
      </c>
      <c r="Q72" s="363">
        <v>-76</v>
      </c>
      <c r="R72" s="363">
        <v>-2464</v>
      </c>
      <c r="S72" s="363">
        <v>0</v>
      </c>
      <c r="T72" s="363">
        <v>0</v>
      </c>
      <c r="U72" s="363">
        <v>0</v>
      </c>
      <c r="V72" s="363">
        <v>0</v>
      </c>
      <c r="W72" s="363">
        <v>0</v>
      </c>
      <c r="X72" s="363">
        <v>2203</v>
      </c>
      <c r="Y72" s="363">
        <v>-740</v>
      </c>
    </row>
    <row r="73" spans="1:25" s="358" customFormat="1" ht="8.25">
      <c r="A73" s="362" t="s">
        <v>418</v>
      </c>
      <c r="B73" s="363">
        <v>-13194</v>
      </c>
      <c r="C73" s="363">
        <v>0</v>
      </c>
      <c r="D73" s="363">
        <v>-3534</v>
      </c>
      <c r="E73" s="363">
        <v>10036</v>
      </c>
      <c r="F73" s="363">
        <v>0</v>
      </c>
      <c r="G73" s="363">
        <v>0</v>
      </c>
      <c r="H73" s="363">
        <v>0</v>
      </c>
      <c r="I73" s="363">
        <v>0</v>
      </c>
      <c r="J73" s="363">
        <v>0</v>
      </c>
      <c r="K73" s="363">
        <v>0</v>
      </c>
      <c r="L73" s="363">
        <v>-6692</v>
      </c>
      <c r="N73" s="362" t="s">
        <v>418</v>
      </c>
      <c r="O73" s="363">
        <v>0</v>
      </c>
      <c r="P73" s="363">
        <v>0</v>
      </c>
      <c r="Q73" s="363">
        <v>0</v>
      </c>
      <c r="R73" s="363">
        <v>0</v>
      </c>
      <c r="S73" s="363">
        <v>0</v>
      </c>
      <c r="T73" s="363">
        <v>0</v>
      </c>
      <c r="U73" s="363">
        <v>0</v>
      </c>
      <c r="V73" s="363">
        <v>0</v>
      </c>
      <c r="W73" s="363">
        <v>0</v>
      </c>
      <c r="X73" s="363">
        <v>0</v>
      </c>
      <c r="Y73" s="363">
        <v>0</v>
      </c>
    </row>
    <row r="74" spans="1:25" s="358" customFormat="1" ht="16.5">
      <c r="A74" s="362" t="s">
        <v>419</v>
      </c>
      <c r="B74" s="363">
        <v>0</v>
      </c>
      <c r="C74" s="363">
        <v>-3864497</v>
      </c>
      <c r="D74" s="363">
        <v>3824426</v>
      </c>
      <c r="E74" s="363">
        <v>-684</v>
      </c>
      <c r="F74" s="363">
        <v>0</v>
      </c>
      <c r="G74" s="363">
        <v>0</v>
      </c>
      <c r="H74" s="363">
        <v>0</v>
      </c>
      <c r="I74" s="363">
        <v>0</v>
      </c>
      <c r="J74" s="363">
        <v>0</v>
      </c>
      <c r="K74" s="363">
        <v>0</v>
      </c>
      <c r="L74" s="363">
        <v>-40755</v>
      </c>
      <c r="N74" s="362" t="s">
        <v>419</v>
      </c>
      <c r="O74" s="363">
        <v>0</v>
      </c>
      <c r="P74" s="363">
        <v>-93176</v>
      </c>
      <c r="Q74" s="363">
        <v>92948</v>
      </c>
      <c r="R74" s="363">
        <v>0</v>
      </c>
      <c r="S74" s="363">
        <v>0</v>
      </c>
      <c r="T74" s="363">
        <v>0</v>
      </c>
      <c r="U74" s="363">
        <v>0</v>
      </c>
      <c r="V74" s="363">
        <v>0</v>
      </c>
      <c r="W74" s="363">
        <v>0</v>
      </c>
      <c r="X74" s="363">
        <v>0</v>
      </c>
      <c r="Y74" s="363">
        <v>-228</v>
      </c>
    </row>
    <row r="75" spans="1:25" s="358" customFormat="1" ht="16.5">
      <c r="A75" s="362" t="s">
        <v>420</v>
      </c>
      <c r="B75" s="363">
        <v>-169281</v>
      </c>
      <c r="C75" s="363">
        <v>39</v>
      </c>
      <c r="D75" s="363">
        <v>-3139</v>
      </c>
      <c r="E75" s="363">
        <v>-262</v>
      </c>
      <c r="F75" s="363">
        <v>0</v>
      </c>
      <c r="G75" s="363">
        <v>0</v>
      </c>
      <c r="H75" s="363">
        <v>0</v>
      </c>
      <c r="I75" s="363">
        <v>0</v>
      </c>
      <c r="J75" s="363">
        <v>0</v>
      </c>
      <c r="K75" s="363">
        <v>0</v>
      </c>
      <c r="L75" s="363">
        <v>-172643</v>
      </c>
      <c r="N75" s="362" t="s">
        <v>420</v>
      </c>
      <c r="O75" s="363">
        <v>-2031</v>
      </c>
      <c r="P75" s="363">
        <v>0</v>
      </c>
      <c r="Q75" s="363">
        <v>-259</v>
      </c>
      <c r="R75" s="363">
        <v>0</v>
      </c>
      <c r="S75" s="363">
        <v>0</v>
      </c>
      <c r="T75" s="363">
        <v>0</v>
      </c>
      <c r="U75" s="363">
        <v>0</v>
      </c>
      <c r="V75" s="363">
        <v>0</v>
      </c>
      <c r="W75" s="363">
        <v>0</v>
      </c>
      <c r="X75" s="363">
        <v>0</v>
      </c>
      <c r="Y75" s="363">
        <v>-2290</v>
      </c>
    </row>
    <row r="76" spans="1:25" s="358" customFormat="1" ht="8.25">
      <c r="A76" s="362" t="s">
        <v>421</v>
      </c>
      <c r="B76" s="363">
        <v>-17656</v>
      </c>
      <c r="C76" s="363">
        <v>5352</v>
      </c>
      <c r="D76" s="363">
        <v>0</v>
      </c>
      <c r="E76" s="363">
        <v>-3022</v>
      </c>
      <c r="F76" s="363">
        <v>0</v>
      </c>
      <c r="G76" s="363">
        <v>0</v>
      </c>
      <c r="H76" s="363">
        <v>0</v>
      </c>
      <c r="I76" s="363">
        <v>0</v>
      </c>
      <c r="J76" s="363">
        <v>0</v>
      </c>
      <c r="K76" s="363">
        <v>0</v>
      </c>
      <c r="L76" s="363">
        <v>-15326</v>
      </c>
      <c r="N76" s="362" t="s">
        <v>421</v>
      </c>
      <c r="O76" s="363">
        <v>0</v>
      </c>
      <c r="P76" s="363">
        <v>0</v>
      </c>
      <c r="Q76" s="363">
        <v>0</v>
      </c>
      <c r="R76" s="363">
        <v>0</v>
      </c>
      <c r="S76" s="363">
        <v>0</v>
      </c>
      <c r="T76" s="363">
        <v>0</v>
      </c>
      <c r="U76" s="363">
        <v>0</v>
      </c>
      <c r="V76" s="363">
        <v>0</v>
      </c>
      <c r="W76" s="363">
        <v>0</v>
      </c>
      <c r="X76" s="363">
        <v>0</v>
      </c>
      <c r="Y76" s="363">
        <v>0</v>
      </c>
    </row>
    <row r="77" spans="1:25" s="358" customFormat="1" ht="16.5">
      <c r="A77" s="362" t="s">
        <v>422</v>
      </c>
      <c r="B77" s="363">
        <v>3</v>
      </c>
      <c r="C77" s="363">
        <v>27660</v>
      </c>
      <c r="D77" s="363">
        <v>-28314</v>
      </c>
      <c r="E77" s="363">
        <v>-5828</v>
      </c>
      <c r="F77" s="363">
        <v>0</v>
      </c>
      <c r="G77" s="363">
        <v>0</v>
      </c>
      <c r="H77" s="363">
        <v>0</v>
      </c>
      <c r="I77" s="363">
        <v>-49785</v>
      </c>
      <c r="J77" s="363">
        <v>0</v>
      </c>
      <c r="K77" s="363">
        <v>0</v>
      </c>
      <c r="L77" s="363">
        <v>-56263</v>
      </c>
      <c r="N77" s="362" t="s">
        <v>422</v>
      </c>
      <c r="O77" s="363">
        <v>3</v>
      </c>
      <c r="P77" s="363">
        <v>0</v>
      </c>
      <c r="Q77" s="363">
        <v>0</v>
      </c>
      <c r="R77" s="363">
        <v>-3</v>
      </c>
      <c r="S77" s="363">
        <v>0</v>
      </c>
      <c r="T77" s="363">
        <v>0</v>
      </c>
      <c r="U77" s="363">
        <v>0</v>
      </c>
      <c r="V77" s="363">
        <v>0</v>
      </c>
      <c r="W77" s="363">
        <v>0</v>
      </c>
      <c r="X77" s="363">
        <v>0</v>
      </c>
      <c r="Y77" s="363">
        <v>0</v>
      </c>
    </row>
    <row r="78" spans="1:25" s="358" customFormat="1" ht="8.25">
      <c r="A78" s="362" t="s">
        <v>423</v>
      </c>
      <c r="B78" s="363">
        <v>-60210</v>
      </c>
      <c r="C78" s="363">
        <v>-9110</v>
      </c>
      <c r="D78" s="363">
        <v>-209051</v>
      </c>
      <c r="E78" s="363">
        <v>-190555</v>
      </c>
      <c r="F78" s="363">
        <v>0</v>
      </c>
      <c r="G78" s="363">
        <v>0</v>
      </c>
      <c r="H78" s="363">
        <v>0</v>
      </c>
      <c r="I78" s="363">
        <v>-311</v>
      </c>
      <c r="J78" s="363">
        <v>-128806</v>
      </c>
      <c r="K78" s="363">
        <v>-26654</v>
      </c>
      <c r="L78" s="363">
        <v>-624699</v>
      </c>
      <c r="N78" s="362" t="s">
        <v>423</v>
      </c>
      <c r="O78" s="363">
        <v>-808</v>
      </c>
      <c r="P78" s="363">
        <v>0</v>
      </c>
      <c r="Q78" s="363">
        <v>-5514</v>
      </c>
      <c r="R78" s="363">
        <v>-6767</v>
      </c>
      <c r="S78" s="363">
        <v>0</v>
      </c>
      <c r="T78" s="363">
        <v>0</v>
      </c>
      <c r="U78" s="363">
        <v>0</v>
      </c>
      <c r="V78" s="363">
        <v>0</v>
      </c>
      <c r="W78" s="363">
        <v>-2460</v>
      </c>
      <c r="X78" s="363">
        <v>-14</v>
      </c>
      <c r="Y78" s="363">
        <v>-15563</v>
      </c>
    </row>
    <row r="79" spans="1:25" s="358" customFormat="1" ht="8.25">
      <c r="A79" s="362" t="s">
        <v>424</v>
      </c>
      <c r="B79" s="363">
        <v>-1573</v>
      </c>
      <c r="C79" s="363">
        <v>-4111</v>
      </c>
      <c r="D79" s="363">
        <v>-140</v>
      </c>
      <c r="E79" s="363">
        <v>-24807</v>
      </c>
      <c r="F79" s="363">
        <v>0</v>
      </c>
      <c r="G79" s="363">
        <v>0</v>
      </c>
      <c r="H79" s="363">
        <v>-254</v>
      </c>
      <c r="I79" s="363">
        <v>-15</v>
      </c>
      <c r="J79" s="363">
        <v>-132503</v>
      </c>
      <c r="K79" s="363">
        <v>-16883</v>
      </c>
      <c r="L79" s="363">
        <v>-180284</v>
      </c>
      <c r="N79" s="362" t="s">
        <v>424</v>
      </c>
      <c r="O79" s="363">
        <v>-194</v>
      </c>
      <c r="P79" s="363">
        <v>0</v>
      </c>
      <c r="Q79" s="363">
        <v>0</v>
      </c>
      <c r="R79" s="363">
        <v>-632</v>
      </c>
      <c r="S79" s="363">
        <v>0</v>
      </c>
      <c r="T79" s="363">
        <v>0</v>
      </c>
      <c r="U79" s="363">
        <v>0</v>
      </c>
      <c r="V79" s="363">
        <v>0</v>
      </c>
      <c r="W79" s="363">
        <v>-2755</v>
      </c>
      <c r="X79" s="363">
        <v>0</v>
      </c>
      <c r="Y79" s="363">
        <v>-3582</v>
      </c>
    </row>
    <row r="80" spans="1:25" s="358" customFormat="1" ht="8.25">
      <c r="A80" s="364" t="s">
        <v>447</v>
      </c>
      <c r="B80" s="365">
        <v>642585</v>
      </c>
      <c r="C80" s="365">
        <v>10763</v>
      </c>
      <c r="D80" s="365">
        <v>3220638</v>
      </c>
      <c r="E80" s="365">
        <v>1222074</v>
      </c>
      <c r="F80" s="365">
        <v>0</v>
      </c>
      <c r="G80" s="365">
        <v>0</v>
      </c>
      <c r="H80" s="365">
        <v>7627</v>
      </c>
      <c r="I80" s="365">
        <v>1047375</v>
      </c>
      <c r="J80" s="365">
        <v>1238539</v>
      </c>
      <c r="K80" s="365">
        <v>254791</v>
      </c>
      <c r="L80" s="365">
        <v>7644391</v>
      </c>
      <c r="N80" s="364" t="s">
        <v>447</v>
      </c>
      <c r="O80" s="365">
        <v>3029</v>
      </c>
      <c r="P80" s="365">
        <v>0</v>
      </c>
      <c r="Q80" s="365">
        <v>77251</v>
      </c>
      <c r="R80" s="365">
        <v>51197</v>
      </c>
      <c r="S80" s="365">
        <v>0</v>
      </c>
      <c r="T80" s="365">
        <v>0</v>
      </c>
      <c r="U80" s="365">
        <v>25</v>
      </c>
      <c r="V80" s="365">
        <v>719</v>
      </c>
      <c r="W80" s="365">
        <v>29244</v>
      </c>
      <c r="X80" s="365">
        <v>2189</v>
      </c>
      <c r="Y80" s="365">
        <v>163653</v>
      </c>
    </row>
    <row r="81" spans="1:25" s="358" customFormat="1" ht="8.25">
      <c r="A81" s="364" t="s">
        <v>448</v>
      </c>
      <c r="B81" s="365">
        <v>496344</v>
      </c>
      <c r="C81" s="365">
        <v>3726</v>
      </c>
      <c r="D81" s="365">
        <v>319149</v>
      </c>
      <c r="E81" s="365">
        <v>457765</v>
      </c>
      <c r="F81" s="365">
        <v>0</v>
      </c>
      <c r="G81" s="365">
        <v>0</v>
      </c>
      <c r="H81" s="365">
        <v>0</v>
      </c>
      <c r="I81" s="365">
        <v>167494</v>
      </c>
      <c r="J81" s="365">
        <v>513124</v>
      </c>
      <c r="K81" s="365">
        <v>100139</v>
      </c>
      <c r="L81" s="365">
        <v>2058344</v>
      </c>
      <c r="N81" s="364" t="s">
        <v>448</v>
      </c>
      <c r="O81" s="365">
        <v>1954</v>
      </c>
      <c r="P81" s="365">
        <v>0</v>
      </c>
      <c r="Q81" s="365">
        <v>7916</v>
      </c>
      <c r="R81" s="365">
        <v>11236</v>
      </c>
      <c r="S81" s="365">
        <v>0</v>
      </c>
      <c r="T81" s="365">
        <v>0</v>
      </c>
      <c r="U81" s="365">
        <v>0</v>
      </c>
      <c r="V81" s="365">
        <v>285</v>
      </c>
      <c r="W81" s="365">
        <v>10075</v>
      </c>
      <c r="X81" s="365">
        <v>1237</v>
      </c>
      <c r="Y81" s="365">
        <v>32702</v>
      </c>
    </row>
    <row r="82" spans="1:25" s="358" customFormat="1" ht="8.25">
      <c r="A82" s="364" t="s">
        <v>449</v>
      </c>
      <c r="B82" s="365">
        <v>4578</v>
      </c>
      <c r="C82" s="365">
        <v>37</v>
      </c>
      <c r="D82" s="365">
        <v>1864341</v>
      </c>
      <c r="E82" s="365">
        <v>68109</v>
      </c>
      <c r="F82" s="365">
        <v>0</v>
      </c>
      <c r="G82" s="365">
        <v>0</v>
      </c>
      <c r="H82" s="365">
        <v>0</v>
      </c>
      <c r="I82" s="365">
        <v>15441</v>
      </c>
      <c r="J82" s="365">
        <v>21949</v>
      </c>
      <c r="K82" s="365">
        <v>90</v>
      </c>
      <c r="L82" s="365">
        <v>1974544</v>
      </c>
      <c r="N82" s="364" t="s">
        <v>449</v>
      </c>
      <c r="O82" s="365">
        <v>0</v>
      </c>
      <c r="P82" s="365">
        <v>0</v>
      </c>
      <c r="Q82" s="365">
        <v>54125</v>
      </c>
      <c r="R82" s="365">
        <v>0</v>
      </c>
      <c r="S82" s="365">
        <v>0</v>
      </c>
      <c r="T82" s="365">
        <v>0</v>
      </c>
      <c r="U82" s="365">
        <v>0</v>
      </c>
      <c r="V82" s="365">
        <v>16</v>
      </c>
      <c r="W82" s="365">
        <v>691</v>
      </c>
      <c r="X82" s="365">
        <v>0</v>
      </c>
      <c r="Y82" s="365">
        <v>54831</v>
      </c>
    </row>
    <row r="83" spans="1:25" s="358" customFormat="1" ht="8.25">
      <c r="A83" s="364" t="s">
        <v>452</v>
      </c>
      <c r="B83" s="365">
        <v>114183</v>
      </c>
      <c r="C83" s="365">
        <v>343</v>
      </c>
      <c r="D83" s="365">
        <v>502336</v>
      </c>
      <c r="E83" s="365">
        <v>586798</v>
      </c>
      <c r="F83" s="365">
        <v>0</v>
      </c>
      <c r="G83" s="365">
        <v>0</v>
      </c>
      <c r="H83" s="365">
        <v>0</v>
      </c>
      <c r="I83" s="365">
        <v>863913</v>
      </c>
      <c r="J83" s="365">
        <v>703467</v>
      </c>
      <c r="K83" s="365">
        <v>154562</v>
      </c>
      <c r="L83" s="365">
        <v>2932624</v>
      </c>
      <c r="N83" s="364" t="s">
        <v>452</v>
      </c>
      <c r="O83" s="365">
        <v>1075</v>
      </c>
      <c r="P83" s="365">
        <v>0</v>
      </c>
      <c r="Q83" s="365">
        <v>4459</v>
      </c>
      <c r="R83" s="365">
        <v>39186</v>
      </c>
      <c r="S83" s="365">
        <v>0</v>
      </c>
      <c r="T83" s="365">
        <v>0</v>
      </c>
      <c r="U83" s="365">
        <v>25</v>
      </c>
      <c r="V83" s="365">
        <v>419</v>
      </c>
      <c r="W83" s="365">
        <v>18478</v>
      </c>
      <c r="X83" s="365">
        <v>952</v>
      </c>
      <c r="Y83" s="365">
        <v>64594</v>
      </c>
    </row>
    <row r="84" spans="1:25" s="358" customFormat="1" ht="8.25">
      <c r="A84" s="362" t="s">
        <v>425</v>
      </c>
      <c r="B84" s="363">
        <v>74681</v>
      </c>
      <c r="C84" s="363">
        <v>0</v>
      </c>
      <c r="D84" s="363">
        <v>241620</v>
      </c>
      <c r="E84" s="363">
        <v>404811</v>
      </c>
      <c r="F84" s="363">
        <v>0</v>
      </c>
      <c r="G84" s="363">
        <v>0</v>
      </c>
      <c r="H84" s="363">
        <v>0</v>
      </c>
      <c r="I84" s="363">
        <v>825717</v>
      </c>
      <c r="J84" s="363">
        <v>348069</v>
      </c>
      <c r="K84" s="363">
        <v>118928</v>
      </c>
      <c r="L84" s="363">
        <v>2019493</v>
      </c>
      <c r="N84" s="362" t="s">
        <v>425</v>
      </c>
      <c r="O84" s="363">
        <v>1030</v>
      </c>
      <c r="P84" s="363">
        <v>0</v>
      </c>
      <c r="Q84" s="363">
        <v>2941</v>
      </c>
      <c r="R84" s="363">
        <v>30668</v>
      </c>
      <c r="S84" s="363">
        <v>0</v>
      </c>
      <c r="T84" s="363">
        <v>0</v>
      </c>
      <c r="U84" s="363">
        <v>0</v>
      </c>
      <c r="V84" s="363">
        <v>226</v>
      </c>
      <c r="W84" s="363">
        <v>9935</v>
      </c>
      <c r="X84" s="363">
        <v>52</v>
      </c>
      <c r="Y84" s="363">
        <v>44852</v>
      </c>
    </row>
    <row r="85" spans="1:25" s="358" customFormat="1" ht="16.5">
      <c r="A85" s="362" t="s">
        <v>426</v>
      </c>
      <c r="B85" s="363">
        <v>15223</v>
      </c>
      <c r="C85" s="363">
        <v>0</v>
      </c>
      <c r="D85" s="363">
        <v>118306</v>
      </c>
      <c r="E85" s="363">
        <v>150102</v>
      </c>
      <c r="F85" s="363">
        <v>0</v>
      </c>
      <c r="G85" s="363">
        <v>0</v>
      </c>
      <c r="H85" s="363">
        <v>0</v>
      </c>
      <c r="I85" s="363">
        <v>7024</v>
      </c>
      <c r="J85" s="363">
        <v>284635</v>
      </c>
      <c r="K85" s="363">
        <v>20858</v>
      </c>
      <c r="L85" s="363">
        <v>596999</v>
      </c>
      <c r="N85" s="362" t="s">
        <v>426</v>
      </c>
      <c r="O85" s="363">
        <v>35</v>
      </c>
      <c r="P85" s="363">
        <v>0</v>
      </c>
      <c r="Q85" s="363">
        <v>843</v>
      </c>
      <c r="R85" s="363">
        <v>6724</v>
      </c>
      <c r="S85" s="363">
        <v>0</v>
      </c>
      <c r="T85" s="363">
        <v>0</v>
      </c>
      <c r="U85" s="363">
        <v>0</v>
      </c>
      <c r="V85" s="363">
        <v>110</v>
      </c>
      <c r="W85" s="363">
        <v>8182</v>
      </c>
      <c r="X85" s="363">
        <v>900</v>
      </c>
      <c r="Y85" s="363">
        <v>16794</v>
      </c>
    </row>
    <row r="86" spans="1:25" s="358" customFormat="1" ht="16.5">
      <c r="A86" s="362" t="s">
        <v>427</v>
      </c>
      <c r="B86" s="363">
        <v>14828</v>
      </c>
      <c r="C86" s="363">
        <v>11</v>
      </c>
      <c r="D86" s="363">
        <v>106565</v>
      </c>
      <c r="E86" s="363">
        <v>6478</v>
      </c>
      <c r="F86" s="363">
        <v>0</v>
      </c>
      <c r="G86" s="363">
        <v>0</v>
      </c>
      <c r="H86" s="363">
        <v>0</v>
      </c>
      <c r="I86" s="363">
        <v>6614</v>
      </c>
      <c r="J86" s="363">
        <v>32581</v>
      </c>
      <c r="K86" s="363">
        <v>3683</v>
      </c>
      <c r="L86" s="363">
        <v>170958</v>
      </c>
      <c r="N86" s="362" t="s">
        <v>427</v>
      </c>
      <c r="O86" s="363">
        <v>5</v>
      </c>
      <c r="P86" s="363">
        <v>0</v>
      </c>
      <c r="Q86" s="363">
        <v>263</v>
      </c>
      <c r="R86" s="363">
        <v>182</v>
      </c>
      <c r="S86" s="363">
        <v>0</v>
      </c>
      <c r="T86" s="363">
        <v>0</v>
      </c>
      <c r="U86" s="363">
        <v>0</v>
      </c>
      <c r="V86" s="363">
        <v>74</v>
      </c>
      <c r="W86" s="363">
        <v>361</v>
      </c>
      <c r="X86" s="363">
        <v>0</v>
      </c>
      <c r="Y86" s="363">
        <v>886</v>
      </c>
    </row>
    <row r="87" spans="1:25" s="358" customFormat="1" ht="8.25">
      <c r="A87" s="362" t="s">
        <v>428</v>
      </c>
      <c r="B87" s="363">
        <v>0</v>
      </c>
      <c r="C87" s="363">
        <v>0</v>
      </c>
      <c r="D87" s="363">
        <v>7333</v>
      </c>
      <c r="E87" s="363">
        <v>0</v>
      </c>
      <c r="F87" s="363">
        <v>0</v>
      </c>
      <c r="G87" s="363">
        <v>0</v>
      </c>
      <c r="H87" s="363">
        <v>0</v>
      </c>
      <c r="I87" s="363">
        <v>0</v>
      </c>
      <c r="J87" s="363">
        <v>199</v>
      </c>
      <c r="K87" s="363">
        <v>1</v>
      </c>
      <c r="L87" s="363">
        <v>7534</v>
      </c>
      <c r="N87" s="362" t="s">
        <v>428</v>
      </c>
      <c r="O87" s="363">
        <v>0</v>
      </c>
      <c r="P87" s="363">
        <v>0</v>
      </c>
      <c r="Q87" s="363">
        <v>0</v>
      </c>
      <c r="R87" s="363">
        <v>0</v>
      </c>
      <c r="S87" s="363">
        <v>0</v>
      </c>
      <c r="T87" s="363">
        <v>0</v>
      </c>
      <c r="U87" s="363">
        <v>0</v>
      </c>
      <c r="V87" s="363">
        <v>0</v>
      </c>
      <c r="W87" s="363">
        <v>0</v>
      </c>
      <c r="X87" s="363">
        <v>0</v>
      </c>
      <c r="Y87" s="363">
        <v>0</v>
      </c>
    </row>
    <row r="88" spans="1:25" s="358" customFormat="1" ht="8.25">
      <c r="A88" s="362" t="s">
        <v>429</v>
      </c>
      <c r="B88" s="363">
        <v>9451</v>
      </c>
      <c r="C88" s="363">
        <v>332</v>
      </c>
      <c r="D88" s="363">
        <v>28512</v>
      </c>
      <c r="E88" s="363">
        <v>25407</v>
      </c>
      <c r="F88" s="363">
        <v>0</v>
      </c>
      <c r="G88" s="363">
        <v>0</v>
      </c>
      <c r="H88" s="363">
        <v>0</v>
      </c>
      <c r="I88" s="363">
        <v>24558</v>
      </c>
      <c r="J88" s="363">
        <v>37983</v>
      </c>
      <c r="K88" s="363">
        <v>11092</v>
      </c>
      <c r="L88" s="363">
        <v>137641</v>
      </c>
      <c r="N88" s="362" t="s">
        <v>429</v>
      </c>
      <c r="O88" s="363">
        <v>5</v>
      </c>
      <c r="P88" s="363">
        <v>0</v>
      </c>
      <c r="Q88" s="363">
        <v>411</v>
      </c>
      <c r="R88" s="363">
        <v>1612</v>
      </c>
      <c r="S88" s="363">
        <v>0</v>
      </c>
      <c r="T88" s="363">
        <v>0</v>
      </c>
      <c r="U88" s="363">
        <v>25</v>
      </c>
      <c r="V88" s="363">
        <v>9</v>
      </c>
      <c r="W88" s="363">
        <v>0</v>
      </c>
      <c r="X88" s="363">
        <v>0</v>
      </c>
      <c r="Y88" s="363">
        <v>2062</v>
      </c>
    </row>
    <row r="89" spans="1:25" s="358" customFormat="1" ht="8.25">
      <c r="A89" s="364" t="s">
        <v>444</v>
      </c>
      <c r="B89" s="365">
        <v>27480</v>
      </c>
      <c r="C89" s="365">
        <v>6657</v>
      </c>
      <c r="D89" s="365">
        <v>534812</v>
      </c>
      <c r="E89" s="365">
        <v>109402</v>
      </c>
      <c r="F89" s="365">
        <v>0</v>
      </c>
      <c r="G89" s="365">
        <v>0</v>
      </c>
      <c r="H89" s="365">
        <v>0</v>
      </c>
      <c r="I89" s="365">
        <v>527</v>
      </c>
      <c r="J89" s="365">
        <v>0</v>
      </c>
      <c r="K89" s="365">
        <v>0</v>
      </c>
      <c r="L89" s="365">
        <v>678879</v>
      </c>
      <c r="N89" s="364" t="s">
        <v>444</v>
      </c>
      <c r="O89" s="365">
        <v>0</v>
      </c>
      <c r="P89" s="365">
        <v>0</v>
      </c>
      <c r="Q89" s="365">
        <v>10751</v>
      </c>
      <c r="R89" s="365">
        <v>775</v>
      </c>
      <c r="S89" s="365">
        <v>0</v>
      </c>
      <c r="T89" s="365">
        <v>0</v>
      </c>
      <c r="U89" s="365">
        <v>0</v>
      </c>
      <c r="V89" s="365">
        <v>0</v>
      </c>
      <c r="W89" s="365">
        <v>0</v>
      </c>
      <c r="X89" s="365">
        <v>0</v>
      </c>
      <c r="Y89" s="365">
        <v>11526</v>
      </c>
    </row>
    <row r="90" spans="1:25" s="358" customFormat="1" ht="8.25">
      <c r="A90" s="366" t="s">
        <v>430</v>
      </c>
      <c r="B90" s="713" t="s">
        <v>432</v>
      </c>
      <c r="C90" s="713" t="s">
        <v>433</v>
      </c>
      <c r="D90" s="713" t="s">
        <v>434</v>
      </c>
      <c r="E90" s="713" t="s">
        <v>435</v>
      </c>
      <c r="F90" s="713" t="s">
        <v>436</v>
      </c>
      <c r="G90" s="713" t="s">
        <v>436</v>
      </c>
      <c r="H90" s="713" t="s">
        <v>436</v>
      </c>
      <c r="I90" s="713" t="s">
        <v>437</v>
      </c>
      <c r="J90" s="713" t="s">
        <v>436</v>
      </c>
      <c r="K90" s="713" t="s">
        <v>436</v>
      </c>
      <c r="L90" s="713" t="s">
        <v>438</v>
      </c>
      <c r="N90" s="366" t="s">
        <v>430</v>
      </c>
      <c r="O90" s="713" t="s">
        <v>436</v>
      </c>
      <c r="P90" s="713" t="s">
        <v>436</v>
      </c>
      <c r="Q90" s="713" t="s">
        <v>454</v>
      </c>
      <c r="R90" s="713" t="s">
        <v>455</v>
      </c>
      <c r="S90" s="713" t="s">
        <v>436</v>
      </c>
      <c r="T90" s="713" t="s">
        <v>436</v>
      </c>
      <c r="U90" s="713" t="s">
        <v>436</v>
      </c>
      <c r="V90" s="713" t="s">
        <v>436</v>
      </c>
      <c r="W90" s="713" t="s">
        <v>436</v>
      </c>
      <c r="X90" s="713" t="s">
        <v>436</v>
      </c>
      <c r="Y90" s="713" t="s">
        <v>456</v>
      </c>
    </row>
    <row r="91" spans="1:25" s="358" customFormat="1" ht="16.5">
      <c r="A91" s="367" t="s">
        <v>431</v>
      </c>
      <c r="B91" s="714"/>
      <c r="C91" s="714"/>
      <c r="D91" s="714"/>
      <c r="E91" s="714"/>
      <c r="F91" s="714"/>
      <c r="G91" s="714"/>
      <c r="H91" s="714"/>
      <c r="I91" s="714"/>
      <c r="J91" s="714"/>
      <c r="K91" s="714"/>
      <c r="L91" s="714"/>
      <c r="N91" s="367" t="s">
        <v>431</v>
      </c>
      <c r="O91" s="714"/>
      <c r="P91" s="714"/>
      <c r="Q91" s="714"/>
      <c r="R91" s="714"/>
      <c r="S91" s="714"/>
      <c r="T91" s="714"/>
      <c r="U91" s="714"/>
      <c r="V91" s="714"/>
      <c r="W91" s="714"/>
      <c r="X91" s="714"/>
      <c r="Y91" s="714"/>
    </row>
  </sheetData>
  <mergeCells count="56">
    <mergeCell ref="N5:N7"/>
    <mergeCell ref="O5:O7"/>
    <mergeCell ref="R5:R7"/>
    <mergeCell ref="S5:S7"/>
    <mergeCell ref="T5:T7"/>
    <mergeCell ref="W5:W7"/>
    <mergeCell ref="X5:X7"/>
    <mergeCell ref="Y5:Y7"/>
    <mergeCell ref="A5:A7"/>
    <mergeCell ref="B5:B7"/>
    <mergeCell ref="E5:E7"/>
    <mergeCell ref="F5:F7"/>
    <mergeCell ref="G5:G7"/>
    <mergeCell ref="J5:J7"/>
    <mergeCell ref="K5:K7"/>
    <mergeCell ref="L5:L7"/>
    <mergeCell ref="X59:X61"/>
    <mergeCell ref="Y59:Y61"/>
    <mergeCell ref="N59:N61"/>
    <mergeCell ref="O59:O61"/>
    <mergeCell ref="R59:R61"/>
    <mergeCell ref="S59:S61"/>
    <mergeCell ref="Q90:Q91"/>
    <mergeCell ref="R90:R91"/>
    <mergeCell ref="T59:T61"/>
    <mergeCell ref="W59:W61"/>
    <mergeCell ref="W90:W91"/>
    <mergeCell ref="X90:X91"/>
    <mergeCell ref="Y90:Y91"/>
    <mergeCell ref="A59:A61"/>
    <mergeCell ref="S90:S91"/>
    <mergeCell ref="T90:T91"/>
    <mergeCell ref="U90:U91"/>
    <mergeCell ref="V90:V91"/>
    <mergeCell ref="O90:O91"/>
    <mergeCell ref="P90:P91"/>
    <mergeCell ref="G90:G91"/>
    <mergeCell ref="H90:H91"/>
    <mergeCell ref="B59:B61"/>
    <mergeCell ref="E59:E61"/>
    <mergeCell ref="F59:F61"/>
    <mergeCell ref="G59:G61"/>
    <mergeCell ref="C90:C91"/>
    <mergeCell ref="D90:D91"/>
    <mergeCell ref="E90:E91"/>
    <mergeCell ref="F90:F91"/>
    <mergeCell ref="N1:Y1"/>
    <mergeCell ref="A1:L1"/>
    <mergeCell ref="I90:I91"/>
    <mergeCell ref="J90:J91"/>
    <mergeCell ref="K90:K91"/>
    <mergeCell ref="L90:L91"/>
    <mergeCell ref="J59:J61"/>
    <mergeCell ref="K59:K61"/>
    <mergeCell ref="L59:L61"/>
    <mergeCell ref="B90:B9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28"/>
  <dimension ref="A1:N139"/>
  <sheetViews>
    <sheetView workbookViewId="0" topLeftCell="A1">
      <selection activeCell="D18" sqref="D18"/>
    </sheetView>
  </sheetViews>
  <sheetFormatPr defaultColWidth="9.140625" defaultRowHeight="12.75"/>
  <cols>
    <col min="1" max="1" width="19.28125" style="15" customWidth="1"/>
    <col min="2" max="3" width="16.7109375" style="15" customWidth="1"/>
    <col min="4" max="4" width="21.421875" style="15" customWidth="1"/>
    <col min="5" max="5" width="17.7109375" style="15" customWidth="1"/>
    <col min="6" max="6" width="17.00390625" style="15" bestFit="1" customWidth="1"/>
    <col min="7" max="7" width="18.7109375" style="15" customWidth="1"/>
    <col min="8" max="8" width="12.00390625" style="15" customWidth="1"/>
    <col min="9" max="16384" width="9.140625" style="15" customWidth="1"/>
  </cols>
  <sheetData>
    <row r="1" ht="12">
      <c r="A1" s="14" t="s">
        <v>22</v>
      </c>
    </row>
    <row r="2" ht="12">
      <c r="A2" s="14"/>
    </row>
    <row r="3" ht="11.25">
      <c r="A3" s="41" t="s">
        <v>78</v>
      </c>
    </row>
    <row r="4" spans="1:6" ht="11.25">
      <c r="A4" s="16" t="s">
        <v>79</v>
      </c>
      <c r="B4" s="20" t="s">
        <v>80</v>
      </c>
      <c r="C4" s="20" t="s">
        <v>305</v>
      </c>
      <c r="D4" s="20" t="s">
        <v>81</v>
      </c>
      <c r="E4" s="20" t="s">
        <v>306</v>
      </c>
      <c r="F4" s="17" t="s">
        <v>82</v>
      </c>
    </row>
    <row r="5" spans="1:6" ht="11.25">
      <c r="A5" s="29">
        <v>1</v>
      </c>
      <c r="B5" s="32">
        <f>60*60*24*365/1000000000</f>
        <v>0.031536</v>
      </c>
      <c r="C5" s="32">
        <f>A5*365*24</f>
        <v>8760</v>
      </c>
      <c r="D5" s="32">
        <f>C5/1000</f>
        <v>8.76</v>
      </c>
      <c r="E5" s="32">
        <v>754</v>
      </c>
      <c r="F5" s="30">
        <v>0.754</v>
      </c>
    </row>
    <row r="6" spans="1:6" ht="20.25">
      <c r="A6" s="24"/>
      <c r="B6" s="24"/>
      <c r="C6" s="24"/>
      <c r="D6" s="24"/>
      <c r="E6" s="235" t="s">
        <v>310</v>
      </c>
      <c r="F6" s="235" t="s">
        <v>311</v>
      </c>
    </row>
    <row r="8" spans="1:7" ht="22.5">
      <c r="A8" s="16" t="s">
        <v>23</v>
      </c>
      <c r="B8" s="17"/>
      <c r="C8" s="18" t="s">
        <v>24</v>
      </c>
      <c r="D8" s="19" t="s">
        <v>25</v>
      </c>
      <c r="E8" s="16" t="s">
        <v>26</v>
      </c>
      <c r="F8" s="20" t="s">
        <v>27</v>
      </c>
      <c r="G8" s="17"/>
    </row>
    <row r="9" spans="1:7" ht="11.25">
      <c r="A9" s="21">
        <v>1</v>
      </c>
      <c r="B9" s="22"/>
      <c r="C9" s="23" t="s">
        <v>28</v>
      </c>
      <c r="D9" s="23" t="s">
        <v>197</v>
      </c>
      <c r="E9" s="21" t="s">
        <v>29</v>
      </c>
      <c r="F9" s="24"/>
      <c r="G9" s="22"/>
    </row>
    <row r="10" spans="1:7" ht="11.25">
      <c r="A10" s="21">
        <v>1000</v>
      </c>
      <c r="B10" s="22" t="s">
        <v>30</v>
      </c>
      <c r="C10" s="23" t="s">
        <v>31</v>
      </c>
      <c r="D10" s="23" t="s">
        <v>32</v>
      </c>
      <c r="E10" s="21" t="s">
        <v>33</v>
      </c>
      <c r="F10" s="24"/>
      <c r="G10" s="22"/>
    </row>
    <row r="11" spans="1:7" ht="11.25">
      <c r="A11" s="21">
        <f>1000000</f>
        <v>1000000</v>
      </c>
      <c r="B11" s="22" t="s">
        <v>34</v>
      </c>
      <c r="C11" s="25" t="s">
        <v>35</v>
      </c>
      <c r="D11" s="23" t="s">
        <v>36</v>
      </c>
      <c r="E11" s="21" t="s">
        <v>37</v>
      </c>
      <c r="F11" s="24" t="s">
        <v>38</v>
      </c>
      <c r="G11" s="22"/>
    </row>
    <row r="12" spans="1:7" ht="11.25">
      <c r="A12" s="21">
        <f>1000000000</f>
        <v>1000000000</v>
      </c>
      <c r="B12" s="22" t="s">
        <v>39</v>
      </c>
      <c r="C12" s="25" t="s">
        <v>40</v>
      </c>
      <c r="D12" s="23" t="s">
        <v>41</v>
      </c>
      <c r="E12" s="21" t="s">
        <v>42</v>
      </c>
      <c r="F12" s="24" t="s">
        <v>43</v>
      </c>
      <c r="G12" s="26"/>
    </row>
    <row r="13" spans="1:7" ht="11.25">
      <c r="A13" s="27">
        <f>1000000000000</f>
        <v>1000000000000</v>
      </c>
      <c r="B13" s="22" t="s">
        <v>44</v>
      </c>
      <c r="C13" s="25" t="s">
        <v>45</v>
      </c>
      <c r="D13" s="23" t="s">
        <v>46</v>
      </c>
      <c r="E13" s="21" t="s">
        <v>47</v>
      </c>
      <c r="F13" s="24" t="s">
        <v>48</v>
      </c>
      <c r="G13" s="28" t="s">
        <v>49</v>
      </c>
    </row>
    <row r="14" spans="1:7" ht="11.25">
      <c r="A14" s="21">
        <f>1000000000000000</f>
        <v>1000000000000000</v>
      </c>
      <c r="B14" s="22" t="s">
        <v>50</v>
      </c>
      <c r="C14" s="25" t="s">
        <v>51</v>
      </c>
      <c r="D14" s="23"/>
      <c r="E14" s="21" t="s">
        <v>52</v>
      </c>
      <c r="F14" s="24" t="s">
        <v>53</v>
      </c>
      <c r="G14" s="26" t="s">
        <v>54</v>
      </c>
    </row>
    <row r="15" spans="1:11" ht="11.25">
      <c r="A15" s="29">
        <f>1000000000000000000</f>
        <v>1E+18</v>
      </c>
      <c r="B15" s="30" t="s">
        <v>55</v>
      </c>
      <c r="C15" s="31" t="s">
        <v>56</v>
      </c>
      <c r="D15" s="31"/>
      <c r="E15" s="29" t="s">
        <v>57</v>
      </c>
      <c r="F15" s="32" t="s">
        <v>58</v>
      </c>
      <c r="G15" s="30"/>
      <c r="J15" s="24"/>
      <c r="K15" s="24"/>
    </row>
    <row r="16" spans="1:11" ht="11.25">
      <c r="A16" s="24"/>
      <c r="B16" s="24"/>
      <c r="C16" s="24"/>
      <c r="D16" s="24"/>
      <c r="E16" s="24"/>
      <c r="F16" s="24"/>
      <c r="J16" s="24"/>
      <c r="K16" s="24"/>
    </row>
    <row r="17" spans="1:11" ht="11.25">
      <c r="A17" s="15" t="s">
        <v>59</v>
      </c>
      <c r="J17" s="24"/>
      <c r="K17" s="24"/>
    </row>
    <row r="18" spans="1:11" ht="12.75">
      <c r="A18" s="33" t="s">
        <v>60</v>
      </c>
      <c r="B18" s="34" t="s">
        <v>61</v>
      </c>
      <c r="C18" s="34" t="s">
        <v>189</v>
      </c>
      <c r="D18" s="35" t="s">
        <v>62</v>
      </c>
      <c r="J18" s="24"/>
      <c r="K18" s="24"/>
    </row>
    <row r="19" spans="1:11" ht="11.25">
      <c r="A19" s="21" t="s">
        <v>63</v>
      </c>
      <c r="B19" s="36" t="s">
        <v>64</v>
      </c>
      <c r="C19" s="36" t="s">
        <v>65</v>
      </c>
      <c r="D19" s="22"/>
      <c r="J19" s="24"/>
      <c r="K19" s="24"/>
    </row>
    <row r="20" spans="1:11" ht="12.75">
      <c r="A20" s="16" t="s">
        <v>66</v>
      </c>
      <c r="B20" s="37" t="s">
        <v>190</v>
      </c>
      <c r="C20" s="37" t="s">
        <v>191</v>
      </c>
      <c r="D20" s="38" t="s">
        <v>67</v>
      </c>
      <c r="J20" s="24"/>
      <c r="K20" s="24"/>
    </row>
    <row r="21" spans="1:11" ht="12.75">
      <c r="A21" s="29" t="s">
        <v>68</v>
      </c>
      <c r="B21" s="39" t="s">
        <v>192</v>
      </c>
      <c r="C21" s="39" t="s">
        <v>193</v>
      </c>
      <c r="D21" s="30"/>
      <c r="J21" s="24"/>
      <c r="K21" s="24"/>
    </row>
    <row r="22" spans="1:11" ht="11.25">
      <c r="A22" s="24"/>
      <c r="B22" s="36"/>
      <c r="C22" s="36"/>
      <c r="D22" s="24"/>
      <c r="J22" s="24"/>
      <c r="K22" s="24"/>
    </row>
    <row r="23" spans="1:11" ht="11.25">
      <c r="A23" s="40" t="s">
        <v>24</v>
      </c>
      <c r="B23" s="40"/>
      <c r="C23" s="24"/>
      <c r="D23" s="24"/>
      <c r="E23" s="24"/>
      <c r="J23" s="24"/>
      <c r="K23" s="24"/>
    </row>
    <row r="24" spans="1:11" ht="11.25">
      <c r="A24" s="41" t="s">
        <v>69</v>
      </c>
      <c r="B24" s="41" t="s">
        <v>70</v>
      </c>
      <c r="C24" s="41" t="s">
        <v>71</v>
      </c>
      <c r="D24" s="24"/>
      <c r="E24" s="24"/>
      <c r="J24" s="24"/>
      <c r="K24" s="24"/>
    </row>
    <row r="25" spans="1:5" ht="12.75">
      <c r="A25" s="24" t="s">
        <v>72</v>
      </c>
      <c r="B25" s="36" t="s">
        <v>194</v>
      </c>
      <c r="C25" s="24" t="s">
        <v>73</v>
      </c>
      <c r="D25" s="24"/>
      <c r="E25" s="24"/>
    </row>
    <row r="26" spans="1:5" ht="11.25">
      <c r="A26" s="24"/>
      <c r="B26" s="36"/>
      <c r="C26" s="24"/>
      <c r="D26" s="24"/>
      <c r="E26" s="24"/>
    </row>
    <row r="27" spans="1:5" ht="11.25">
      <c r="A27" s="41" t="s">
        <v>74</v>
      </c>
      <c r="B27" s="36"/>
      <c r="C27" s="24"/>
      <c r="D27" s="24"/>
      <c r="E27" s="24"/>
    </row>
    <row r="28" spans="1:11" ht="12.75">
      <c r="A28" s="42" t="s">
        <v>75</v>
      </c>
      <c r="B28" s="43" t="s">
        <v>195</v>
      </c>
      <c r="C28" s="44" t="s">
        <v>76</v>
      </c>
      <c r="D28" s="44"/>
      <c r="E28" s="44" t="s">
        <v>77</v>
      </c>
      <c r="F28" s="24"/>
      <c r="J28" s="24"/>
      <c r="K28" s="24"/>
    </row>
    <row r="29" spans="1:11" ht="11.25">
      <c r="A29" s="15" t="s">
        <v>198</v>
      </c>
      <c r="E29" s="24"/>
      <c r="J29" s="24"/>
      <c r="K29" s="24"/>
    </row>
    <row r="30" spans="5:11" ht="11.25">
      <c r="E30" s="24"/>
      <c r="J30" s="24"/>
      <c r="K30" s="24"/>
    </row>
    <row r="31" ht="11.25">
      <c r="E31" s="24"/>
    </row>
    <row r="32" spans="1:5" ht="11.25">
      <c r="A32" s="16" t="s">
        <v>83</v>
      </c>
      <c r="B32" s="17" t="s">
        <v>84</v>
      </c>
      <c r="E32" s="24"/>
    </row>
    <row r="33" spans="1:5" ht="11.25">
      <c r="A33" s="29">
        <v>1</v>
      </c>
      <c r="B33" s="30">
        <f>24*A33</f>
        <v>24</v>
      </c>
      <c r="E33" s="24"/>
    </row>
    <row r="35" ht="11.25">
      <c r="A35" s="15" t="s">
        <v>85</v>
      </c>
    </row>
    <row r="37" ht="11.25">
      <c r="A37" s="15" t="s">
        <v>86</v>
      </c>
    </row>
    <row r="39" spans="1:5" ht="13.5" customHeight="1">
      <c r="A39" s="45" t="s">
        <v>87</v>
      </c>
      <c r="B39" s="24"/>
      <c r="C39" s="24"/>
      <c r="D39" s="24"/>
      <c r="E39" s="24"/>
    </row>
    <row r="40" spans="1:5" ht="11.25">
      <c r="A40" s="24" t="s">
        <v>88</v>
      </c>
      <c r="C40" s="24"/>
      <c r="D40" s="24"/>
      <c r="E40" s="24"/>
    </row>
    <row r="41" spans="1:5" ht="11.25">
      <c r="A41" s="21" t="s">
        <v>89</v>
      </c>
      <c r="C41" s="24"/>
      <c r="D41" s="24"/>
      <c r="E41" s="24"/>
    </row>
    <row r="42" spans="1:12" ht="11.25">
      <c r="A42" s="21" t="s">
        <v>90</v>
      </c>
      <c r="C42" s="24"/>
      <c r="D42" s="24"/>
      <c r="E42" s="24"/>
      <c r="F42" s="24"/>
      <c r="J42" s="24"/>
      <c r="K42" s="24"/>
      <c r="L42" s="24"/>
    </row>
    <row r="43" spans="1:14" ht="11.25">
      <c r="A43" s="21" t="s">
        <v>91</v>
      </c>
      <c r="C43" s="24"/>
      <c r="D43" s="24"/>
      <c r="E43" s="24"/>
      <c r="F43" s="24"/>
      <c r="L43" s="46"/>
      <c r="N43" s="47"/>
    </row>
    <row r="44" spans="1:14" ht="11.25">
      <c r="A44" s="21" t="s">
        <v>92</v>
      </c>
      <c r="C44" s="24"/>
      <c r="D44" s="24"/>
      <c r="E44" s="24"/>
      <c r="F44" s="24"/>
      <c r="L44" s="48"/>
      <c r="N44" s="49"/>
    </row>
    <row r="45" spans="1:12" ht="11.25">
      <c r="A45" s="21" t="s">
        <v>93</v>
      </c>
      <c r="C45" s="24"/>
      <c r="D45" s="24"/>
      <c r="E45" s="24"/>
      <c r="F45" s="24"/>
      <c r="L45" s="24"/>
    </row>
    <row r="46" spans="1:12" ht="11.25">
      <c r="A46" s="21" t="s">
        <v>94</v>
      </c>
      <c r="C46" s="24"/>
      <c r="D46" s="24"/>
      <c r="E46" s="24"/>
      <c r="F46" s="24"/>
      <c r="L46" s="24"/>
    </row>
    <row r="47" spans="1:12" ht="11.25">
      <c r="A47" s="21" t="s">
        <v>95</v>
      </c>
      <c r="B47" s="24"/>
      <c r="C47" s="24"/>
      <c r="D47" s="24"/>
      <c r="E47" s="24"/>
      <c r="F47" s="24"/>
      <c r="G47" s="24"/>
      <c r="H47" s="24"/>
      <c r="L47" s="24"/>
    </row>
    <row r="48" spans="1:12" ht="11.25">
      <c r="A48" s="24" t="s">
        <v>96</v>
      </c>
      <c r="B48" s="24"/>
      <c r="C48" s="24"/>
      <c r="D48" s="24"/>
      <c r="E48" s="24"/>
      <c r="F48" s="24"/>
      <c r="G48" s="24"/>
      <c r="H48" s="24"/>
      <c r="L48" s="24"/>
    </row>
    <row r="49" spans="6:12" ht="11.25">
      <c r="F49" s="24"/>
      <c r="G49" s="24"/>
      <c r="H49" s="24"/>
      <c r="L49" s="24"/>
    </row>
    <row r="50" spans="1:12" ht="11.25">
      <c r="A50" s="24" t="s">
        <v>97</v>
      </c>
      <c r="B50" s="24"/>
      <c r="C50" s="24"/>
      <c r="D50" s="24"/>
      <c r="E50" s="24"/>
      <c r="F50" s="24"/>
      <c r="G50" s="24"/>
      <c r="H50" s="24"/>
      <c r="L50" s="24"/>
    </row>
    <row r="51" spans="1:12" ht="11.25">
      <c r="A51" s="24" t="s">
        <v>98</v>
      </c>
      <c r="B51" s="24"/>
      <c r="C51" s="24"/>
      <c r="D51" s="24"/>
      <c r="E51" s="24"/>
      <c r="F51" s="24"/>
      <c r="G51" s="24"/>
      <c r="H51" s="24"/>
      <c r="L51" s="24"/>
    </row>
    <row r="52" spans="1:12" ht="11.25">
      <c r="A52" s="24" t="s">
        <v>99</v>
      </c>
      <c r="B52" s="24"/>
      <c r="C52" s="24"/>
      <c r="D52" s="24"/>
      <c r="E52" s="24"/>
      <c r="G52" s="24"/>
      <c r="H52" s="24"/>
      <c r="L52" s="24"/>
    </row>
    <row r="53" spans="1:7" ht="11.25">
      <c r="A53" s="24" t="s">
        <v>100</v>
      </c>
      <c r="B53" s="24"/>
      <c r="C53" s="24"/>
      <c r="D53" s="24"/>
      <c r="E53" s="24"/>
      <c r="G53" s="24"/>
    </row>
    <row r="54" spans="1:12" ht="11.25">
      <c r="A54" s="24" t="s">
        <v>101</v>
      </c>
      <c r="B54" s="24"/>
      <c r="C54" s="24"/>
      <c r="D54" s="24"/>
      <c r="E54" s="24"/>
      <c r="G54" s="24"/>
      <c r="H54" s="24"/>
      <c r="L54" s="24"/>
    </row>
    <row r="55" spans="1:12" ht="11.25">
      <c r="A55" s="24" t="s">
        <v>102</v>
      </c>
      <c r="B55" s="24"/>
      <c r="C55" s="24"/>
      <c r="D55" s="24"/>
      <c r="E55" s="24"/>
      <c r="G55" s="24"/>
      <c r="H55" s="24"/>
      <c r="I55" s="24"/>
      <c r="J55" s="24"/>
      <c r="K55" s="24"/>
      <c r="L55" s="24"/>
    </row>
    <row r="56" spans="1:11" ht="11.25">
      <c r="A56" s="24" t="s">
        <v>103</v>
      </c>
      <c r="B56" s="24"/>
      <c r="C56" s="24"/>
      <c r="D56" s="24"/>
      <c r="E56" s="24"/>
      <c r="G56" s="24"/>
      <c r="H56" s="24"/>
      <c r="I56" s="24"/>
      <c r="J56" s="24"/>
      <c r="K56" s="24"/>
    </row>
    <row r="57" spans="1:11" ht="11.25">
      <c r="A57" s="24" t="s">
        <v>104</v>
      </c>
      <c r="B57" s="24"/>
      <c r="C57" s="24"/>
      <c r="D57" s="24"/>
      <c r="E57" s="24"/>
      <c r="G57" s="24"/>
      <c r="H57" s="24"/>
      <c r="I57" s="24"/>
      <c r="J57" s="24"/>
      <c r="K57" s="24"/>
    </row>
    <row r="58" spans="1:11" ht="11.25">
      <c r="A58" s="41" t="s">
        <v>105</v>
      </c>
      <c r="B58" s="24"/>
      <c r="C58" s="24"/>
      <c r="D58" s="24"/>
      <c r="E58" s="24"/>
      <c r="G58" s="24"/>
      <c r="H58" s="24"/>
      <c r="I58" s="24"/>
      <c r="J58" s="24"/>
      <c r="K58" s="24"/>
    </row>
    <row r="59" spans="1:11" ht="11.25">
      <c r="A59" s="41" t="s">
        <v>106</v>
      </c>
      <c r="B59" s="24"/>
      <c r="C59" s="24"/>
      <c r="D59" s="24"/>
      <c r="E59" s="24"/>
      <c r="G59" s="24"/>
      <c r="H59" s="24"/>
      <c r="I59" s="24"/>
      <c r="J59" s="24"/>
      <c r="K59" s="24"/>
    </row>
    <row r="60" spans="7:11" ht="11.25">
      <c r="G60" s="24"/>
      <c r="H60" s="24"/>
      <c r="I60" s="24"/>
      <c r="J60" s="24"/>
      <c r="K60" s="24"/>
    </row>
    <row r="61" spans="1:11" ht="11.25">
      <c r="A61" s="15" t="s">
        <v>107</v>
      </c>
      <c r="G61" s="24"/>
      <c r="H61" s="24"/>
      <c r="I61" s="24"/>
      <c r="J61" s="24"/>
      <c r="K61" s="24"/>
    </row>
    <row r="62" spans="1:11" ht="11.25">
      <c r="A62" s="16"/>
      <c r="B62" s="20"/>
      <c r="C62" s="20" t="s">
        <v>18</v>
      </c>
      <c r="D62" s="50" t="s">
        <v>108</v>
      </c>
      <c r="E62" s="24"/>
      <c r="G62" s="24"/>
      <c r="H62" s="24"/>
      <c r="I62" s="24"/>
      <c r="J62" s="24"/>
      <c r="K62" s="24"/>
    </row>
    <row r="63" spans="1:8" ht="11.25">
      <c r="A63" s="51"/>
      <c r="B63" s="52" t="s">
        <v>109</v>
      </c>
      <c r="C63" s="52">
        <v>1000</v>
      </c>
      <c r="D63" s="53">
        <f>C63*24*365/1000000</f>
        <v>8.76</v>
      </c>
      <c r="E63" s="24"/>
      <c r="H63" s="24"/>
    </row>
    <row r="64" spans="1:8" ht="12">
      <c r="A64" s="54" t="s">
        <v>7</v>
      </c>
      <c r="B64" s="41" t="s">
        <v>110</v>
      </c>
      <c r="C64" s="41">
        <v>400</v>
      </c>
      <c r="D64" s="55">
        <f>C64*24*365/1000000</f>
        <v>3.504</v>
      </c>
      <c r="E64" s="24"/>
      <c r="H64" s="24"/>
    </row>
    <row r="65" spans="1:5" ht="12">
      <c r="A65" s="56"/>
      <c r="B65" s="57" t="s">
        <v>3</v>
      </c>
      <c r="C65" s="57">
        <v>16</v>
      </c>
      <c r="D65" s="58">
        <f>C65*24*365/1000000</f>
        <v>0.14016</v>
      </c>
      <c r="E65" s="24"/>
    </row>
    <row r="66" spans="1:5" ht="12">
      <c r="A66" s="59" t="s">
        <v>111</v>
      </c>
      <c r="B66" s="60" t="s">
        <v>112</v>
      </c>
      <c r="C66" s="60">
        <v>250</v>
      </c>
      <c r="D66" s="61">
        <f>C66*24*365/1000000</f>
        <v>2.19</v>
      </c>
      <c r="E66" s="24"/>
    </row>
    <row r="68" spans="1:5" ht="12">
      <c r="A68" s="59" t="s">
        <v>113</v>
      </c>
      <c r="B68" s="62" t="s">
        <v>114</v>
      </c>
      <c r="C68" s="63"/>
      <c r="D68" s="64"/>
      <c r="E68" s="24"/>
    </row>
    <row r="69" spans="2:5" ht="11.25">
      <c r="B69" s="24"/>
      <c r="C69" s="24"/>
      <c r="D69" s="24"/>
      <c r="E69" s="24"/>
    </row>
    <row r="70" spans="1:5" ht="11.25">
      <c r="A70" s="36" t="s">
        <v>196</v>
      </c>
      <c r="B70" s="24"/>
      <c r="C70" s="24"/>
      <c r="D70" s="24"/>
      <c r="E70" s="24"/>
    </row>
    <row r="71" spans="1:5" ht="11.25">
      <c r="A71" s="65"/>
      <c r="B71" s="24"/>
      <c r="C71" s="24"/>
      <c r="D71" s="24"/>
      <c r="E71" s="24"/>
    </row>
    <row r="72" spans="1:5" ht="11.25">
      <c r="A72" s="65"/>
      <c r="B72" s="24"/>
      <c r="C72" s="24"/>
      <c r="D72" s="24"/>
      <c r="E72" s="24"/>
    </row>
    <row r="73" spans="1:5" ht="11.25">
      <c r="A73" s="66" t="s">
        <v>115</v>
      </c>
      <c r="B73" s="66"/>
      <c r="E73" s="24"/>
    </row>
    <row r="74" spans="1:5" ht="11.25">
      <c r="A74" s="67" t="s">
        <v>116</v>
      </c>
      <c r="B74" s="68">
        <f>12/44</f>
        <v>0.2727272727272727</v>
      </c>
      <c r="C74" s="24"/>
      <c r="D74" s="24"/>
      <c r="E74" s="24"/>
    </row>
    <row r="75" spans="1:5" ht="11.25">
      <c r="A75" s="24"/>
      <c r="B75" s="24"/>
      <c r="C75" s="24"/>
      <c r="D75" s="24"/>
      <c r="E75" s="24"/>
    </row>
    <row r="76" spans="1:5" s="72" customFormat="1" ht="11.25">
      <c r="A76" s="69" t="s">
        <v>117</v>
      </c>
      <c r="B76" s="70"/>
      <c r="C76" s="70"/>
      <c r="D76" s="71"/>
      <c r="E76" s="70"/>
    </row>
    <row r="77" spans="1:5" ht="11.25">
      <c r="A77" s="24"/>
      <c r="B77" s="40"/>
      <c r="C77" s="40"/>
      <c r="D77" s="40"/>
      <c r="E77" s="73"/>
    </row>
    <row r="78" spans="1:5" ht="11.25">
      <c r="A78" s="24" t="s">
        <v>118</v>
      </c>
      <c r="B78" s="40"/>
      <c r="C78" s="40"/>
      <c r="D78" s="40"/>
      <c r="E78" s="73"/>
    </row>
    <row r="79" spans="1:8" ht="11.25">
      <c r="A79" s="24"/>
      <c r="B79" s="77"/>
      <c r="C79" s="77"/>
      <c r="D79" s="77"/>
      <c r="E79" s="74"/>
      <c r="F79" s="74"/>
      <c r="G79" s="74"/>
      <c r="H79" s="74"/>
    </row>
    <row r="80" spans="1:8" ht="12">
      <c r="A80" s="90" t="s">
        <v>119</v>
      </c>
      <c r="B80" s="77"/>
      <c r="C80" s="77"/>
      <c r="D80" s="77"/>
      <c r="E80" s="74"/>
      <c r="F80" s="74"/>
      <c r="G80" s="74"/>
      <c r="H80" s="74"/>
    </row>
    <row r="81" spans="1:6" ht="12">
      <c r="A81" s="77"/>
      <c r="B81" s="83" t="s">
        <v>120</v>
      </c>
      <c r="C81" s="78"/>
      <c r="D81" s="78"/>
      <c r="E81" s="75"/>
      <c r="F81" s="75"/>
    </row>
    <row r="82" spans="1:6" ht="11.25">
      <c r="A82" s="77"/>
      <c r="B82" s="78" t="s">
        <v>121</v>
      </c>
      <c r="C82" s="78"/>
      <c r="D82" s="78"/>
      <c r="E82" s="78" t="s">
        <v>122</v>
      </c>
      <c r="F82" s="78" t="s">
        <v>123</v>
      </c>
    </row>
    <row r="83" spans="1:6" ht="11.25">
      <c r="A83" s="76" t="s">
        <v>124</v>
      </c>
      <c r="B83" s="78" t="s">
        <v>125</v>
      </c>
      <c r="C83" s="78" t="s">
        <v>126</v>
      </c>
      <c r="D83" s="78" t="s">
        <v>127</v>
      </c>
      <c r="E83" s="78" t="s">
        <v>128</v>
      </c>
      <c r="F83" s="78" t="s">
        <v>129</v>
      </c>
    </row>
    <row r="84" spans="1:6" ht="12">
      <c r="A84" s="87" t="s">
        <v>130</v>
      </c>
      <c r="B84" s="77"/>
      <c r="C84" s="78"/>
      <c r="D84" s="83" t="s">
        <v>131</v>
      </c>
      <c r="E84" s="78"/>
      <c r="F84" s="78"/>
    </row>
    <row r="85" spans="1:6" ht="11.25">
      <c r="A85" s="77" t="s">
        <v>132</v>
      </c>
      <c r="B85" s="78">
        <v>1</v>
      </c>
      <c r="C85" s="78">
        <v>1.165</v>
      </c>
      <c r="D85" s="78">
        <v>7.33</v>
      </c>
      <c r="E85" s="78">
        <v>307.86</v>
      </c>
      <c r="F85" s="78" t="s">
        <v>133</v>
      </c>
    </row>
    <row r="86" spans="1:6" ht="11.25">
      <c r="A86" s="77" t="s">
        <v>134</v>
      </c>
      <c r="B86" s="88">
        <v>0.8581</v>
      </c>
      <c r="C86" s="78">
        <v>1</v>
      </c>
      <c r="D86" s="78">
        <v>6.2898</v>
      </c>
      <c r="E86" s="78">
        <v>264.17</v>
      </c>
      <c r="F86" s="78" t="s">
        <v>133</v>
      </c>
    </row>
    <row r="87" spans="1:6" ht="11.25">
      <c r="A87" s="77" t="s">
        <v>135</v>
      </c>
      <c r="B87" s="88">
        <v>0.1364</v>
      </c>
      <c r="C87" s="78">
        <v>0.159</v>
      </c>
      <c r="D87" s="78">
        <v>1</v>
      </c>
      <c r="E87" s="78">
        <v>42</v>
      </c>
      <c r="F87" s="78" t="s">
        <v>133</v>
      </c>
    </row>
    <row r="88" spans="1:6" ht="11.25">
      <c r="A88" s="77" t="s">
        <v>136</v>
      </c>
      <c r="B88" s="88">
        <v>0.00325</v>
      </c>
      <c r="C88" s="78">
        <v>0.0038</v>
      </c>
      <c r="D88" s="78">
        <v>0.0238</v>
      </c>
      <c r="E88" s="78">
        <v>1</v>
      </c>
      <c r="F88" s="78" t="s">
        <v>133</v>
      </c>
    </row>
    <row r="89" spans="1:6" ht="11.25">
      <c r="A89" s="77" t="s">
        <v>137</v>
      </c>
      <c r="B89" s="78" t="s">
        <v>133</v>
      </c>
      <c r="C89" s="78" t="s">
        <v>133</v>
      </c>
      <c r="D89" s="78" t="s">
        <v>133</v>
      </c>
      <c r="E89" s="78" t="s">
        <v>133</v>
      </c>
      <c r="F89" s="78">
        <v>49.8</v>
      </c>
    </row>
    <row r="90" spans="1:8" ht="11.25">
      <c r="A90" s="89" t="s">
        <v>138</v>
      </c>
      <c r="B90" s="77"/>
      <c r="C90" s="77"/>
      <c r="D90" s="77"/>
      <c r="E90" s="77"/>
      <c r="F90" s="77"/>
      <c r="G90" s="74"/>
      <c r="H90" s="74"/>
    </row>
    <row r="91" spans="1:8" ht="11.25">
      <c r="A91" s="77"/>
      <c r="B91" s="77"/>
      <c r="C91" s="77"/>
      <c r="D91" s="77"/>
      <c r="E91" s="77"/>
      <c r="F91" s="77"/>
      <c r="G91" s="74"/>
      <c r="H91" s="74"/>
    </row>
    <row r="92" spans="1:6" ht="12">
      <c r="A92" s="77"/>
      <c r="B92" s="83" t="s">
        <v>139</v>
      </c>
      <c r="C92" s="78"/>
      <c r="D92" s="78"/>
      <c r="E92" s="78"/>
      <c r="F92" s="24"/>
    </row>
    <row r="93" spans="1:5" ht="11.25">
      <c r="A93" s="77"/>
      <c r="B93" s="78" t="s">
        <v>127</v>
      </c>
      <c r="C93" s="78" t="s">
        <v>121</v>
      </c>
      <c r="D93" s="78" t="s">
        <v>126</v>
      </c>
      <c r="E93" s="75" t="s">
        <v>121</v>
      </c>
    </row>
    <row r="94" spans="1:5" ht="11.25">
      <c r="A94" s="76" t="s">
        <v>140</v>
      </c>
      <c r="B94" s="78" t="s">
        <v>141</v>
      </c>
      <c r="C94" s="78" t="s">
        <v>142</v>
      </c>
      <c r="D94" s="78" t="s">
        <v>141</v>
      </c>
      <c r="E94" s="75" t="s">
        <v>143</v>
      </c>
    </row>
    <row r="95" spans="1:5" s="24" customFormat="1" ht="12">
      <c r="A95" s="77"/>
      <c r="B95" s="84" t="s">
        <v>131</v>
      </c>
      <c r="C95" s="85"/>
      <c r="D95" s="85"/>
      <c r="E95" s="85"/>
    </row>
    <row r="96" spans="1:5" s="24" customFormat="1" ht="11.25">
      <c r="A96" s="77" t="s">
        <v>144</v>
      </c>
      <c r="B96" s="78">
        <v>0.086</v>
      </c>
      <c r="C96" s="78">
        <v>11.6</v>
      </c>
      <c r="D96" s="78">
        <v>0.542</v>
      </c>
      <c r="E96" s="78">
        <v>1.844</v>
      </c>
    </row>
    <row r="97" spans="1:5" s="24" customFormat="1" ht="11.25">
      <c r="A97" s="77" t="s">
        <v>145</v>
      </c>
      <c r="B97" s="78">
        <v>0.118</v>
      </c>
      <c r="C97" s="78">
        <v>8.5</v>
      </c>
      <c r="D97" s="82">
        <v>0.74</v>
      </c>
      <c r="E97" s="78">
        <v>1.351</v>
      </c>
    </row>
    <row r="98" spans="1:5" s="24" customFormat="1" ht="11.25">
      <c r="A98" s="77" t="s">
        <v>146</v>
      </c>
      <c r="B98" s="78">
        <v>0.128</v>
      </c>
      <c r="C98" s="78">
        <v>7.8</v>
      </c>
      <c r="D98" s="82">
        <v>0.806</v>
      </c>
      <c r="E98" s="78">
        <v>1.24</v>
      </c>
    </row>
    <row r="99" spans="1:5" s="24" customFormat="1" ht="11.25">
      <c r="A99" s="77" t="s">
        <v>147</v>
      </c>
      <c r="B99" s="78">
        <v>0.133</v>
      </c>
      <c r="C99" s="78">
        <v>7.5</v>
      </c>
      <c r="D99" s="78">
        <v>0.839</v>
      </c>
      <c r="E99" s="78">
        <v>1.192</v>
      </c>
    </row>
    <row r="100" spans="1:5" s="24" customFormat="1" ht="11.25">
      <c r="A100" s="77" t="s">
        <v>148</v>
      </c>
      <c r="B100" s="78">
        <v>0.149</v>
      </c>
      <c r="C100" s="78">
        <v>6.7</v>
      </c>
      <c r="D100" s="78">
        <v>0.939</v>
      </c>
      <c r="E100" s="78">
        <v>1.065</v>
      </c>
    </row>
    <row r="101" spans="1:8" s="24" customFormat="1" ht="11.25">
      <c r="A101" s="77"/>
      <c r="B101" s="77"/>
      <c r="C101" s="77"/>
      <c r="D101" s="77"/>
      <c r="E101" s="77"/>
      <c r="F101" s="77"/>
      <c r="G101" s="77"/>
      <c r="H101" s="77"/>
    </row>
    <row r="102" spans="1:7" s="24" customFormat="1" ht="12">
      <c r="A102" s="77"/>
      <c r="B102" s="83" t="s">
        <v>120</v>
      </c>
      <c r="C102" s="78"/>
      <c r="D102" s="78"/>
      <c r="E102" s="78"/>
      <c r="F102" s="78"/>
      <c r="G102" s="78"/>
    </row>
    <row r="103" spans="1:7" ht="11.25">
      <c r="A103" s="77"/>
      <c r="B103" s="78" t="s">
        <v>149</v>
      </c>
      <c r="C103" s="78" t="s">
        <v>149</v>
      </c>
      <c r="D103" s="78" t="s">
        <v>150</v>
      </c>
      <c r="E103" s="75" t="s">
        <v>150</v>
      </c>
      <c r="F103" s="75" t="s">
        <v>151</v>
      </c>
      <c r="G103" s="75" t="s">
        <v>152</v>
      </c>
    </row>
    <row r="104" spans="1:7" ht="11.25">
      <c r="A104" s="76" t="s">
        <v>153</v>
      </c>
      <c r="B104" s="78" t="s">
        <v>154</v>
      </c>
      <c r="C104" s="78" t="s">
        <v>155</v>
      </c>
      <c r="D104" s="78" t="s">
        <v>156</v>
      </c>
      <c r="E104" s="75" t="s">
        <v>157</v>
      </c>
      <c r="F104" s="75" t="s">
        <v>158</v>
      </c>
      <c r="G104" s="75" t="s">
        <v>156</v>
      </c>
    </row>
    <row r="105" spans="1:7" ht="12">
      <c r="A105" s="87" t="s">
        <v>130</v>
      </c>
      <c r="B105" s="84" t="s">
        <v>131</v>
      </c>
      <c r="C105" s="85"/>
      <c r="D105" s="85"/>
      <c r="E105" s="86"/>
      <c r="F105" s="86"/>
      <c r="G105" s="86"/>
    </row>
    <row r="106" spans="1:7" ht="11.25">
      <c r="A106" s="77" t="s">
        <v>159</v>
      </c>
      <c r="B106" s="78">
        <v>1</v>
      </c>
      <c r="C106" s="78">
        <v>35.3</v>
      </c>
      <c r="D106" s="91">
        <v>0.9</v>
      </c>
      <c r="E106" s="75">
        <v>0.73</v>
      </c>
      <c r="F106" s="75">
        <v>36</v>
      </c>
      <c r="G106" s="75">
        <v>6.29</v>
      </c>
    </row>
    <row r="107" spans="1:7" ht="11.25">
      <c r="A107" s="77" t="s">
        <v>160</v>
      </c>
      <c r="B107" s="78">
        <v>0.028</v>
      </c>
      <c r="C107" s="78">
        <v>1</v>
      </c>
      <c r="D107" s="78">
        <v>0.026</v>
      </c>
      <c r="E107" s="75">
        <v>0.021</v>
      </c>
      <c r="F107" s="75">
        <v>1.03</v>
      </c>
      <c r="G107" s="75">
        <v>0.18</v>
      </c>
    </row>
    <row r="108" spans="1:7" ht="11.25">
      <c r="A108" s="77" t="s">
        <v>161</v>
      </c>
      <c r="B108" s="78">
        <v>1.111</v>
      </c>
      <c r="C108" s="78">
        <v>39.2</v>
      </c>
      <c r="D108" s="78">
        <v>1</v>
      </c>
      <c r="E108" s="75">
        <v>0.805</v>
      </c>
      <c r="F108" s="75">
        <v>40.4</v>
      </c>
      <c r="G108" s="75">
        <v>7.33</v>
      </c>
    </row>
    <row r="109" spans="1:7" ht="11.25">
      <c r="A109" s="77" t="s">
        <v>162</v>
      </c>
      <c r="B109" s="78">
        <v>1.38</v>
      </c>
      <c r="C109" s="78">
        <v>48.7</v>
      </c>
      <c r="D109" s="78">
        <v>1.23</v>
      </c>
      <c r="E109" s="75">
        <v>1</v>
      </c>
      <c r="F109" s="79">
        <v>52</v>
      </c>
      <c r="G109" s="75">
        <v>8.68</v>
      </c>
    </row>
    <row r="110" spans="1:7" ht="11.25">
      <c r="A110" s="77" t="s">
        <v>163</v>
      </c>
      <c r="B110" s="78">
        <v>0.028</v>
      </c>
      <c r="C110" s="78">
        <v>0.98</v>
      </c>
      <c r="D110" s="78">
        <v>0.025</v>
      </c>
      <c r="E110" s="75">
        <v>0.02</v>
      </c>
      <c r="F110" s="75">
        <v>1</v>
      </c>
      <c r="G110" s="75">
        <v>0.17</v>
      </c>
    </row>
    <row r="111" spans="1:7" s="24" customFormat="1" ht="11.25">
      <c r="A111" s="77" t="s">
        <v>164</v>
      </c>
      <c r="B111" s="78">
        <v>0.16</v>
      </c>
      <c r="C111" s="78">
        <v>5.61</v>
      </c>
      <c r="D111" s="78">
        <v>0.14</v>
      </c>
      <c r="E111" s="78">
        <v>0.12</v>
      </c>
      <c r="F111" s="78">
        <v>5.8</v>
      </c>
      <c r="G111" s="78">
        <v>1</v>
      </c>
    </row>
    <row r="112" spans="1:8" s="24" customFormat="1" ht="11.25">
      <c r="A112" s="77"/>
      <c r="B112" s="77"/>
      <c r="C112" s="78"/>
      <c r="D112" s="78"/>
      <c r="E112" s="78"/>
      <c r="F112" s="78"/>
      <c r="G112" s="78"/>
      <c r="H112" s="78"/>
    </row>
    <row r="113" spans="1:8" ht="11.25">
      <c r="A113" s="77" t="s">
        <v>391</v>
      </c>
      <c r="B113" s="77"/>
      <c r="C113" s="77"/>
      <c r="D113" s="77"/>
      <c r="E113" s="74"/>
      <c r="F113" s="74"/>
      <c r="G113" s="74"/>
      <c r="H113" s="74"/>
    </row>
    <row r="114" spans="1:8" ht="11.25">
      <c r="A114" s="77" t="s">
        <v>392</v>
      </c>
      <c r="B114" s="77"/>
      <c r="C114" s="77"/>
      <c r="D114" s="77"/>
      <c r="E114" s="74"/>
      <c r="F114" s="74"/>
      <c r="G114" s="74"/>
      <c r="H114" s="74"/>
    </row>
    <row r="115" spans="1:8" ht="12">
      <c r="A115" s="92" t="s">
        <v>165</v>
      </c>
      <c r="B115" s="93"/>
      <c r="C115" s="93"/>
      <c r="D115" s="93"/>
      <c r="E115" s="80"/>
      <c r="F115" s="80"/>
      <c r="G115" s="80"/>
      <c r="H115" s="80"/>
    </row>
    <row r="116" spans="1:8" ht="11.25">
      <c r="A116" s="77" t="s">
        <v>166</v>
      </c>
      <c r="B116" s="77"/>
      <c r="C116" s="77"/>
      <c r="D116" s="77"/>
      <c r="E116" s="74"/>
      <c r="F116" s="74"/>
      <c r="G116" s="74"/>
      <c r="H116" s="74"/>
    </row>
    <row r="117" spans="1:8" ht="11.25">
      <c r="A117" s="77" t="s">
        <v>167</v>
      </c>
      <c r="B117" s="77"/>
      <c r="C117" s="77"/>
      <c r="D117" s="77"/>
      <c r="E117" s="74"/>
      <c r="F117" s="74"/>
      <c r="G117" s="74"/>
      <c r="H117" s="74"/>
    </row>
    <row r="118" spans="1:8" ht="11.25">
      <c r="A118" s="77" t="s">
        <v>168</v>
      </c>
      <c r="B118" s="77"/>
      <c r="C118" s="77"/>
      <c r="D118" s="77"/>
      <c r="E118" s="74"/>
      <c r="F118" s="74"/>
      <c r="G118" s="74"/>
      <c r="H118" s="74"/>
    </row>
    <row r="119" spans="1:8" ht="11.25">
      <c r="A119" s="77" t="s">
        <v>169</v>
      </c>
      <c r="B119" s="77"/>
      <c r="C119" s="77"/>
      <c r="D119" s="77"/>
      <c r="E119" s="74"/>
      <c r="F119" s="74"/>
      <c r="G119" s="74"/>
      <c r="H119" s="74"/>
    </row>
    <row r="120" spans="1:8" ht="11.25">
      <c r="A120" s="77" t="s">
        <v>170</v>
      </c>
      <c r="B120" s="77"/>
      <c r="C120" s="77"/>
      <c r="D120" s="77"/>
      <c r="E120" s="74"/>
      <c r="F120" s="74"/>
      <c r="G120" s="74"/>
      <c r="H120" s="74"/>
    </row>
    <row r="121" spans="1:8" ht="11.25">
      <c r="A121" s="77" t="s">
        <v>171</v>
      </c>
      <c r="B121" s="77"/>
      <c r="C121" s="77"/>
      <c r="D121" s="77"/>
      <c r="E121" s="74"/>
      <c r="F121" s="74"/>
      <c r="G121" s="74"/>
      <c r="H121" s="74"/>
    </row>
    <row r="122" spans="1:8" ht="11.25">
      <c r="A122" s="77" t="s">
        <v>172</v>
      </c>
      <c r="B122" s="77"/>
      <c r="C122" s="77"/>
      <c r="D122" s="77"/>
      <c r="E122" s="74"/>
      <c r="F122" s="74"/>
      <c r="G122" s="74"/>
      <c r="H122" s="74"/>
    </row>
    <row r="123" spans="1:8" ht="11.25">
      <c r="A123" s="77" t="s">
        <v>173</v>
      </c>
      <c r="B123" s="77"/>
      <c r="C123" s="77"/>
      <c r="D123" s="77"/>
      <c r="E123" s="74"/>
      <c r="F123" s="74"/>
      <c r="G123" s="74"/>
      <c r="H123" s="74"/>
    </row>
    <row r="124" spans="1:8" ht="11.25">
      <c r="A124" s="77"/>
      <c r="B124" s="77"/>
      <c r="C124" s="77"/>
      <c r="D124" s="77"/>
      <c r="E124" s="74"/>
      <c r="F124" s="74"/>
      <c r="G124" s="74"/>
      <c r="H124" s="74"/>
    </row>
    <row r="125" spans="1:8" ht="12">
      <c r="A125" s="87" t="s">
        <v>174</v>
      </c>
      <c r="B125" s="77"/>
      <c r="C125" s="77"/>
      <c r="D125" s="77"/>
      <c r="E125" s="77"/>
      <c r="F125" s="74"/>
      <c r="G125" s="74"/>
      <c r="H125" s="74"/>
    </row>
    <row r="126" spans="1:8" ht="11.25">
      <c r="A126" s="77" t="s">
        <v>175</v>
      </c>
      <c r="B126" s="77"/>
      <c r="C126" s="77"/>
      <c r="D126" s="77"/>
      <c r="E126" s="77"/>
      <c r="F126" s="74"/>
      <c r="G126" s="74"/>
      <c r="H126" s="74"/>
    </row>
    <row r="127" spans="1:8" ht="11.25">
      <c r="A127" s="77" t="s">
        <v>176</v>
      </c>
      <c r="B127" s="77" t="s">
        <v>177</v>
      </c>
      <c r="C127" s="77"/>
      <c r="D127" s="77"/>
      <c r="E127" s="77"/>
      <c r="F127" s="74"/>
      <c r="G127" s="74"/>
      <c r="H127" s="74"/>
    </row>
    <row r="128" spans="1:8" ht="11.25">
      <c r="A128" s="77"/>
      <c r="B128" s="77" t="s">
        <v>178</v>
      </c>
      <c r="C128" s="77"/>
      <c r="D128" s="77"/>
      <c r="E128" s="77"/>
      <c r="F128" s="74"/>
      <c r="G128" s="74"/>
      <c r="H128" s="74"/>
    </row>
    <row r="129" spans="1:8" ht="11.25">
      <c r="A129" s="77"/>
      <c r="B129" s="77" t="s">
        <v>179</v>
      </c>
      <c r="C129" s="77"/>
      <c r="D129" s="77"/>
      <c r="E129" s="77"/>
      <c r="F129" s="74"/>
      <c r="G129" s="74"/>
      <c r="H129" s="74"/>
    </row>
    <row r="130" spans="1:8" ht="11.25">
      <c r="A130" s="77" t="s">
        <v>180</v>
      </c>
      <c r="B130" s="77" t="s">
        <v>181</v>
      </c>
      <c r="C130" s="77"/>
      <c r="D130" s="77"/>
      <c r="E130" s="77"/>
      <c r="F130" s="74"/>
      <c r="G130" s="74"/>
      <c r="H130" s="74"/>
    </row>
    <row r="131" spans="1:8" ht="11.25">
      <c r="A131" s="77"/>
      <c r="B131" s="77" t="s">
        <v>182</v>
      </c>
      <c r="C131" s="77"/>
      <c r="D131" s="77"/>
      <c r="E131" s="77"/>
      <c r="F131" s="74"/>
      <c r="G131" s="74"/>
      <c r="H131" s="74"/>
    </row>
    <row r="132" spans="1:8" ht="11.25">
      <c r="A132" s="77" t="s">
        <v>183</v>
      </c>
      <c r="B132" s="77" t="s">
        <v>184</v>
      </c>
      <c r="C132" s="77"/>
      <c r="D132" s="77"/>
      <c r="E132" s="77"/>
      <c r="F132" s="74"/>
      <c r="G132" s="74"/>
      <c r="H132" s="74"/>
    </row>
    <row r="133" spans="1:8" ht="11.25">
      <c r="A133" s="81" t="s">
        <v>7</v>
      </c>
      <c r="B133" s="81" t="s">
        <v>185</v>
      </c>
      <c r="C133" s="81"/>
      <c r="D133" s="81"/>
      <c r="E133" s="77"/>
      <c r="F133" s="74"/>
      <c r="G133" s="74"/>
      <c r="H133" s="74"/>
    </row>
    <row r="134" spans="1:8" ht="11.25">
      <c r="A134" s="81"/>
      <c r="B134" s="81"/>
      <c r="C134" s="81"/>
      <c r="D134" s="81"/>
      <c r="E134" s="77"/>
      <c r="F134" s="77"/>
      <c r="G134" s="77"/>
      <c r="H134" s="77"/>
    </row>
    <row r="135" spans="1:8" ht="11.25">
      <c r="A135" s="94" t="s">
        <v>186</v>
      </c>
      <c r="B135" s="77"/>
      <c r="C135" s="77"/>
      <c r="D135" s="77"/>
      <c r="E135" s="77"/>
      <c r="F135" s="74"/>
      <c r="G135" s="74"/>
      <c r="H135" s="74"/>
    </row>
    <row r="136" spans="1:8" ht="11.25">
      <c r="A136" s="77"/>
      <c r="B136" s="77"/>
      <c r="C136" s="77"/>
      <c r="D136" s="77"/>
      <c r="E136" s="77"/>
      <c r="F136" s="74"/>
      <c r="G136" s="74"/>
      <c r="H136" s="74"/>
    </row>
    <row r="137" spans="1:8" ht="12">
      <c r="A137" s="87" t="s">
        <v>187</v>
      </c>
      <c r="B137" s="77"/>
      <c r="C137" s="77"/>
      <c r="D137" s="77"/>
      <c r="E137" s="77"/>
      <c r="F137" s="74"/>
      <c r="G137" s="74"/>
      <c r="H137" s="74"/>
    </row>
    <row r="138" spans="1:8" ht="11.25">
      <c r="A138" s="74" t="s">
        <v>188</v>
      </c>
      <c r="B138" s="74"/>
      <c r="C138" s="74"/>
      <c r="D138" s="77"/>
      <c r="E138" s="77"/>
      <c r="F138" s="74"/>
      <c r="G138" s="74"/>
      <c r="H138" s="74"/>
    </row>
    <row r="139" spans="4:5" ht="11.25">
      <c r="D139" s="24"/>
      <c r="E139" s="24"/>
    </row>
  </sheetData>
  <hyperlinks>
    <hyperlink ref="A76" r:id="rId1" display="Back to Contents"/>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Stretton</dc:creator>
  <cp:keywords/>
  <dc:description/>
  <cp:lastModifiedBy>Stephen</cp:lastModifiedBy>
  <dcterms:created xsi:type="dcterms:W3CDTF">2007-02-27T12:56:16Z</dcterms:created>
  <dcterms:modified xsi:type="dcterms:W3CDTF">2007-03-14T06:44:35Z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